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670"/>
  </bookViews>
  <sheets>
    <sheet name="CERT 7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3" i="1"/>
  <c r="O83"/>
  <c r="M83"/>
  <c r="O82"/>
  <c r="M82"/>
  <c r="O81"/>
  <c r="M81"/>
  <c r="P73"/>
  <c r="O73"/>
  <c r="M73"/>
  <c r="O72"/>
  <c r="M72"/>
  <c r="O71"/>
  <c r="M71"/>
  <c r="O70"/>
  <c r="P70" s="1"/>
  <c r="M70"/>
  <c r="O69"/>
  <c r="M69"/>
  <c r="O68"/>
  <c r="M68"/>
  <c r="O65"/>
  <c r="M65"/>
  <c r="O62"/>
  <c r="M62"/>
  <c r="O61"/>
  <c r="M61"/>
  <c r="O60"/>
  <c r="M60"/>
  <c r="N60" s="1"/>
  <c r="O59"/>
  <c r="M59"/>
  <c r="O55"/>
  <c r="M55"/>
  <c r="O54"/>
  <c r="M54"/>
  <c r="N54" s="1"/>
  <c r="O50"/>
  <c r="M50"/>
  <c r="O47"/>
  <c r="M47"/>
  <c r="O45"/>
  <c r="M45"/>
  <c r="P34"/>
  <c r="O34"/>
  <c r="M34"/>
  <c r="O33"/>
  <c r="M33"/>
  <c r="P9"/>
  <c r="O28"/>
  <c r="P28" s="1"/>
  <c r="M28"/>
  <c r="N28" s="1"/>
  <c r="O27"/>
  <c r="P27" s="1"/>
  <c r="M27"/>
  <c r="N27" s="1"/>
  <c r="O26"/>
  <c r="P26" s="1"/>
  <c r="M26"/>
  <c r="N26" s="1"/>
  <c r="O25"/>
  <c r="P25" s="1"/>
  <c r="M25"/>
  <c r="N25" s="1"/>
  <c r="O24"/>
  <c r="M24"/>
  <c r="O23"/>
  <c r="M23"/>
  <c r="O22"/>
  <c r="M22"/>
  <c r="O15"/>
  <c r="P15" s="1"/>
  <c r="M15"/>
  <c r="O13"/>
  <c r="P13" s="1"/>
  <c r="M13"/>
  <c r="O11"/>
  <c r="P11" s="1"/>
  <c r="M11"/>
  <c r="O10"/>
  <c r="P10" s="1"/>
  <c r="M10"/>
  <c r="O9"/>
  <c r="M9"/>
  <c r="H34"/>
  <c r="H33"/>
  <c r="H24"/>
  <c r="H23"/>
  <c r="K57"/>
  <c r="F18"/>
  <c r="J18" s="1"/>
  <c r="J15"/>
  <c r="J13"/>
  <c r="J10"/>
  <c r="N10" s="1"/>
  <c r="J11"/>
  <c r="J9"/>
  <c r="J81"/>
  <c r="K81"/>
  <c r="J82"/>
  <c r="K82"/>
  <c r="P82" s="1"/>
  <c r="K73"/>
  <c r="J73"/>
  <c r="K72"/>
  <c r="J72"/>
  <c r="K71"/>
  <c r="P71" s="1"/>
  <c r="J71"/>
  <c r="K70"/>
  <c r="J70"/>
  <c r="K69"/>
  <c r="P69" s="1"/>
  <c r="J69"/>
  <c r="K68"/>
  <c r="J68"/>
  <c r="K50"/>
  <c r="J50"/>
  <c r="K65"/>
  <c r="P65" s="1"/>
  <c r="J65"/>
  <c r="J60"/>
  <c r="K60"/>
  <c r="J61"/>
  <c r="K61"/>
  <c r="P61" s="1"/>
  <c r="J62"/>
  <c r="K62"/>
  <c r="M63"/>
  <c r="N63" s="1"/>
  <c r="M64"/>
  <c r="N64" s="1"/>
  <c r="M66"/>
  <c r="N66" s="1"/>
  <c r="K59"/>
  <c r="P59" s="1"/>
  <c r="J59"/>
  <c r="J23"/>
  <c r="K23"/>
  <c r="P23" s="1"/>
  <c r="J24"/>
  <c r="K24"/>
  <c r="P24" s="1"/>
  <c r="K22"/>
  <c r="P22" s="1"/>
  <c r="J22"/>
  <c r="K55"/>
  <c r="J55"/>
  <c r="K54"/>
  <c r="P54" s="1"/>
  <c r="J54"/>
  <c r="K83"/>
  <c r="J83"/>
  <c r="K47"/>
  <c r="P47" s="1"/>
  <c r="J47"/>
  <c r="K45"/>
  <c r="J45"/>
  <c r="K34"/>
  <c r="K33"/>
  <c r="J34"/>
  <c r="J33"/>
  <c r="N22" l="1"/>
  <c r="N45"/>
  <c r="P60"/>
  <c r="N71"/>
  <c r="N81"/>
  <c r="P45"/>
  <c r="N61"/>
  <c r="N68"/>
  <c r="P81"/>
  <c r="N11"/>
  <c r="N23"/>
  <c r="N47"/>
  <c r="N55"/>
  <c r="P68"/>
  <c r="N82"/>
  <c r="N33"/>
  <c r="P55"/>
  <c r="N69"/>
  <c r="N72"/>
  <c r="N13"/>
  <c r="N24"/>
  <c r="P33"/>
  <c r="N59"/>
  <c r="N62"/>
  <c r="P72"/>
  <c r="N34"/>
  <c r="N50"/>
  <c r="P62"/>
  <c r="N73"/>
  <c r="N83"/>
  <c r="N15"/>
  <c r="P50"/>
  <c r="N65"/>
  <c r="N70"/>
  <c r="P83"/>
  <c r="J7" l="1"/>
  <c r="N9"/>
  <c r="M119"/>
  <c r="M118"/>
  <c r="M117"/>
  <c r="M116"/>
  <c r="M115"/>
  <c r="O114"/>
  <c r="M114"/>
  <c r="M113"/>
  <c r="O91"/>
  <c r="P91" s="1"/>
  <c r="P90" s="1"/>
  <c r="K90"/>
  <c r="O89"/>
  <c r="P89" s="1"/>
  <c r="O88"/>
  <c r="P88" s="1"/>
  <c r="K87"/>
  <c r="M79"/>
  <c r="N79" s="1"/>
  <c r="M78"/>
  <c r="N78" s="1"/>
  <c r="M77"/>
  <c r="N77" s="1"/>
  <c r="M76"/>
  <c r="N76" s="1"/>
  <c r="M75"/>
  <c r="N75" s="1"/>
  <c r="M74"/>
  <c r="N74" s="1"/>
  <c r="M67"/>
  <c r="N67" s="1"/>
  <c r="M58"/>
  <c r="J57"/>
  <c r="O56"/>
  <c r="P56" s="1"/>
  <c r="M56"/>
  <c r="N56" s="1"/>
  <c r="O53"/>
  <c r="P53" s="1"/>
  <c r="M53"/>
  <c r="N53" s="1"/>
  <c r="O52"/>
  <c r="P52" s="1"/>
  <c r="M52"/>
  <c r="N52" s="1"/>
  <c r="O51"/>
  <c r="P51" s="1"/>
  <c r="M51"/>
  <c r="N51" s="1"/>
  <c r="O49"/>
  <c r="P49" s="1"/>
  <c r="M49"/>
  <c r="N49" s="1"/>
  <c r="O48"/>
  <c r="P48" s="1"/>
  <c r="M48"/>
  <c r="N48" s="1"/>
  <c r="O46"/>
  <c r="P46" s="1"/>
  <c r="M46"/>
  <c r="N46" s="1"/>
  <c r="O44"/>
  <c r="P44" s="1"/>
  <c r="M44"/>
  <c r="N44" s="1"/>
  <c r="K43"/>
  <c r="J43"/>
  <c r="O42"/>
  <c r="P42" s="1"/>
  <c r="M42"/>
  <c r="N42" s="1"/>
  <c r="O41"/>
  <c r="P41" s="1"/>
  <c r="M41"/>
  <c r="N41" s="1"/>
  <c r="O40"/>
  <c r="P40" s="1"/>
  <c r="M40"/>
  <c r="N40" s="1"/>
  <c r="O39"/>
  <c r="P39" s="1"/>
  <c r="M39"/>
  <c r="N39" s="1"/>
  <c r="O38"/>
  <c r="P38" s="1"/>
  <c r="M38"/>
  <c r="N38" s="1"/>
  <c r="O37"/>
  <c r="P37" s="1"/>
  <c r="M37"/>
  <c r="N37" s="1"/>
  <c r="O36"/>
  <c r="P36" s="1"/>
  <c r="M36"/>
  <c r="N36" s="1"/>
  <c r="O35"/>
  <c r="P35" s="1"/>
  <c r="M35"/>
  <c r="N35" s="1"/>
  <c r="O32"/>
  <c r="P32" s="1"/>
  <c r="M32"/>
  <c r="N32" s="1"/>
  <c r="K31"/>
  <c r="J31"/>
  <c r="O30"/>
  <c r="P30" s="1"/>
  <c r="P29" s="1"/>
  <c r="K29"/>
  <c r="K20"/>
  <c r="J20"/>
  <c r="M19"/>
  <c r="N19" s="1"/>
  <c r="M18"/>
  <c r="J17"/>
  <c r="M16"/>
  <c r="N16" s="1"/>
  <c r="M14"/>
  <c r="N14" s="1"/>
  <c r="M12"/>
  <c r="N12" s="1"/>
  <c r="M8"/>
  <c r="N8" s="1"/>
  <c r="P87" l="1"/>
  <c r="O90"/>
  <c r="O29"/>
  <c r="M17"/>
  <c r="O20"/>
  <c r="O93" s="1"/>
  <c r="M20"/>
  <c r="O87"/>
  <c r="M57"/>
  <c r="N58"/>
  <c r="N57" s="1"/>
  <c r="O43"/>
  <c r="O31"/>
  <c r="M43"/>
  <c r="N20"/>
  <c r="P20"/>
  <c r="M7"/>
  <c r="J93"/>
  <c r="N43"/>
  <c r="N7"/>
  <c r="N31"/>
  <c r="P43"/>
  <c r="P31"/>
  <c r="M31"/>
  <c r="N18"/>
  <c r="N17" s="1"/>
  <c r="M93" l="1"/>
  <c r="O113"/>
  <c r="O115" s="1"/>
  <c r="O116" s="1"/>
  <c r="N101"/>
  <c r="M101"/>
  <c r="M103" s="1"/>
  <c r="M105" s="1"/>
  <c r="P113"/>
  <c r="O117" l="1"/>
  <c r="O118"/>
  <c r="R113"/>
  <c r="M104"/>
  <c r="M106"/>
  <c r="O119" l="1"/>
  <c r="M107"/>
</calcChain>
</file>

<file path=xl/sharedStrings.xml><?xml version="1.0" encoding="utf-8"?>
<sst xmlns="http://schemas.openxmlformats.org/spreadsheetml/2006/main" count="237" uniqueCount="152">
  <si>
    <t>CERTIFICACION DE OBRA Nº 7</t>
  </si>
  <si>
    <t>CONSORCIO SAMASA, REDONDO Y GARCIA</t>
  </si>
  <si>
    <t>JULIO 2016</t>
  </si>
  <si>
    <t>USD</t>
  </si>
  <si>
    <t>DOP</t>
  </si>
  <si>
    <t>Nº</t>
  </si>
  <si>
    <t>Descripción</t>
  </si>
  <si>
    <t>U</t>
  </si>
  <si>
    <t>Med</t>
  </si>
  <si>
    <t>% M</t>
  </si>
  <si>
    <t>Total USD</t>
  </si>
  <si>
    <t>Total DOP</t>
  </si>
  <si>
    <t>Certificado</t>
  </si>
  <si>
    <t>Pendiente</t>
  </si>
  <si>
    <t>Lista 1-1</t>
  </si>
  <si>
    <t>Materiales, Accesorios Suministrados desde el Exterior</t>
  </si>
  <si>
    <t>Tubería de FD DN 1000</t>
  </si>
  <si>
    <t>ml</t>
  </si>
  <si>
    <t>Tubería de PEAD DN 1100 SDR21</t>
  </si>
  <si>
    <t>Difusor (longitud 144 m)</t>
  </si>
  <si>
    <t>Tablestacas</t>
  </si>
  <si>
    <t>t</t>
  </si>
  <si>
    <t>Correas HEB 180 y Puntales HEB 120</t>
  </si>
  <si>
    <t>Esferas curado conducciones</t>
  </si>
  <si>
    <t>Lista 1-2</t>
  </si>
  <si>
    <t>Repuestos suministrados desde el Exterior</t>
  </si>
  <si>
    <t>Uniones de reparación para la tubería de HD. Uniones de reparación tipo Dresser</t>
  </si>
  <si>
    <t>ud</t>
  </si>
  <si>
    <t>Lista 4-1</t>
  </si>
  <si>
    <t>Servicios de Instalación y Otros</t>
  </si>
  <si>
    <t>Instalación de obras, suministros y limpieza fina incluidos</t>
  </si>
  <si>
    <t>PA</t>
  </si>
  <si>
    <t>Investigaciones previas antes de las obras</t>
  </si>
  <si>
    <t>Estudios de Ejecución, Ensayos y Controles</t>
  </si>
  <si>
    <t>Realización del PAC y PSYS</t>
  </si>
  <si>
    <t>Dossier de Obras Realizadas</t>
  </si>
  <si>
    <t>Lista 4-2</t>
  </si>
  <si>
    <t>Propuesta de Plan Ambiental de Proyecto (PAP)</t>
  </si>
  <si>
    <t>Lista 4-3</t>
  </si>
  <si>
    <t>Fabricación de anillos de lastrado en hormigón armado</t>
  </si>
  <si>
    <t>m3</t>
  </si>
  <si>
    <t>Escollera</t>
  </si>
  <si>
    <t>Fabricación mantas hormigón Es. 80 cm</t>
  </si>
  <si>
    <t>Fabricación mantas hormigón Es. 70 cm</t>
  </si>
  <si>
    <t>Fabricación mantas hormigón Es. 60 cm</t>
  </si>
  <si>
    <t>Fabricación mantas hormigón Es. 50 cm</t>
  </si>
  <si>
    <t>Fabricación mantas hormigón Es. 45 cm</t>
  </si>
  <si>
    <t>Fabricación mantas hormigón Es. 35 cm</t>
  </si>
  <si>
    <t>Fabricación mantas hormigón Es. 15 cm</t>
  </si>
  <si>
    <t>Lista 4-4</t>
  </si>
  <si>
    <t>Preparación, Transporte e Instalación tubería FD 1000 ST1</t>
  </si>
  <si>
    <t>Preparación, Transporte e Instalación tubería FD 1000 ST2</t>
  </si>
  <si>
    <t>Obra auxiliar Cofferdam</t>
  </si>
  <si>
    <t>Excavación entre tablestacas</t>
  </si>
  <si>
    <t>Relleno con arena gruesa</t>
  </si>
  <si>
    <t>Relleno con hormigón (Es 30 cm)</t>
  </si>
  <si>
    <t>Caja registro inicio tramo marino</t>
  </si>
  <si>
    <t>Pista de acceso</t>
  </si>
  <si>
    <t>Lista 4-5</t>
  </si>
  <si>
    <t>Preparación, transporte, hundimiento e instalación de la conducción submarina</t>
  </si>
  <si>
    <t>Preparación, transporte, hundimiento e instalación del difusor</t>
  </si>
  <si>
    <t>Dragado (ST 4, 7 y 8)</t>
  </si>
  <si>
    <t>Cama de arena pendiente 0,5%</t>
  </si>
  <si>
    <t>Instalación mantas hormigón Es. 80 cm</t>
  </si>
  <si>
    <t>Instalación mantas hormigón Es. 70 cm</t>
  </si>
  <si>
    <t>Instalación mantas hormigón Es. 60 cm</t>
  </si>
  <si>
    <t>Instalación mantas hormigón Es. 50 cm</t>
  </si>
  <si>
    <t>Instalación mantas hormigón Es. 45 cm</t>
  </si>
  <si>
    <t>Instalación mantas hormigón Es. 35 cm</t>
  </si>
  <si>
    <t>Instalación mantas hormigón Es. 15 cm</t>
  </si>
  <si>
    <t>Relleno todo uno hasta TN</t>
  </si>
  <si>
    <t>Lista 6</t>
  </si>
  <si>
    <t>Repuestos recomendados</t>
  </si>
  <si>
    <t>Lastres o anclajes de concreto anulares</t>
  </si>
  <si>
    <t>Fabricación de mantas de hormigón Es 15 cm</t>
  </si>
  <si>
    <t>Otros (Impuestos y aranceles)</t>
  </si>
  <si>
    <t xml:space="preserve">ESTIMACIÓN EMITIDA POR </t>
  </si>
  <si>
    <t>RESPONSABLE ESTIMACIÓN</t>
  </si>
  <si>
    <t>PENDIENTE</t>
  </si>
  <si>
    <t>CERTIFICACION ACUMULADA</t>
  </si>
  <si>
    <t>FIRMA Y SELLO</t>
  </si>
  <si>
    <t>(CERTIFICACION ANTERIOR)</t>
  </si>
  <si>
    <t>CERT 1+2+3+4+5+6</t>
  </si>
  <si>
    <t>INCREMENTO CERTIFICACION</t>
  </si>
  <si>
    <t>(AMORTIZACION ANTICIPO 10%)</t>
  </si>
  <si>
    <t>(RETENCION TERMINACION 5%)</t>
  </si>
  <si>
    <t>REVISADO</t>
  </si>
  <si>
    <t>(RETENCION ACEPTACION 5%)</t>
  </si>
  <si>
    <t>CONSORCIO SUPERVISOR EGIS-INDEMAR-ICA</t>
  </si>
  <si>
    <t>CERTIFICACION EN CURSO</t>
  </si>
  <si>
    <t>REVISADO POR POR</t>
  </si>
  <si>
    <t>FECHA:</t>
  </si>
  <si>
    <t>CERTIFICADO POR GERENTE DE PROYECTO</t>
  </si>
  <si>
    <t>ANTICIPO PRIMERA CERTIFICACIÓN</t>
  </si>
  <si>
    <t>101.1</t>
  </si>
  <si>
    <t>Tubería PRFV ALPHACOR 900 (CIP)</t>
  </si>
  <si>
    <t>Precios Unitarios</t>
  </si>
  <si>
    <t>104.1</t>
  </si>
  <si>
    <t xml:space="preserve">Tuberia de hormigón con camisa de acero 2000 mm </t>
  </si>
  <si>
    <t>Ud</t>
  </si>
  <si>
    <t>105.1</t>
  </si>
  <si>
    <t>Tuberia de hormigón con camisa de acero 600 mm</t>
  </si>
  <si>
    <t>201.1</t>
  </si>
  <si>
    <t>Fabricación  de lastre cilindrico de 3,9 Tn y 4 tornillos de primera fase en Hormigón Armado sobre tuberia.</t>
  </si>
  <si>
    <t>201.2</t>
  </si>
  <si>
    <t>Fabricación de lastrado de hormigón armado de segunda fase ó herradura en Puerto Arroyo Barril (SAMANA)</t>
  </si>
  <si>
    <t>Cant. M</t>
  </si>
  <si>
    <t>406.1</t>
  </si>
  <si>
    <t>Preparación, transporte e instalación tuberia PRFV ALPHACOR 900 ST1</t>
  </si>
  <si>
    <t>407.1</t>
  </si>
  <si>
    <t>Preparación, transporte e instalación tuberia PRFV ALPHACOR 900 ST2</t>
  </si>
  <si>
    <t>428.1</t>
  </si>
  <si>
    <t>Construcción arqueta conexión con Planta Pre-Tratamiento.</t>
  </si>
  <si>
    <t>412.1</t>
  </si>
  <si>
    <t>Dragado excavación chimena de equilibrio</t>
  </si>
  <si>
    <t>412.2</t>
  </si>
  <si>
    <t>Colocación por medios marítimos de chimenea de equilibrio</t>
  </si>
  <si>
    <t>401.1</t>
  </si>
  <si>
    <t xml:space="preserve">Movilización de equipos maritimos, </t>
  </si>
  <si>
    <t>401.2</t>
  </si>
  <si>
    <t>Gastos de primera instalación y contratación de espacios terrestres y de equipos del ínea de agua en Arroyo Barril, con movlización permanente de grúa terrestre móvil todo terreno y maquinaria auxiliar. Gastos de primera instalación y oficina obra centrales en Puerto Plata (7%)</t>
  </si>
  <si>
    <t>401.3</t>
  </si>
  <si>
    <t>Prorrateo mensual sobre el total de duración de la obra, de los arrendamientos Maritimo-Portuarios, terrestres, incluidas todas las instalaciones temposales, luz, agua, seguridad, seguros, mantenimiento, limpieza, obras provisionales y todo tipo de contingencias que puedan surgir durante el transcurso de los trabajos.</t>
  </si>
  <si>
    <t>mes</t>
  </si>
  <si>
    <t>414.1</t>
  </si>
  <si>
    <t>Suministro de tapas de fondeo y sustitución de tapas  a flote en Puerto Arroyo Barril</t>
  </si>
  <si>
    <t>414.2</t>
  </si>
  <si>
    <t>Colocación de lastre cilindrico de 3,9 Tn y 4 tornillos de primera fase en Hormigón Armado sobre tuberia.</t>
  </si>
  <si>
    <t>414.3</t>
  </si>
  <si>
    <t>Remolque por vía marítima desde Puerto Arroyo Barril a Puerto Plata  (140 millas) con fondeo provisional si es necesario</t>
  </si>
  <si>
    <t>414.4</t>
  </si>
  <si>
    <t>Fondeo en fondo marino en traza definitiva</t>
  </si>
  <si>
    <t>416.1</t>
  </si>
  <si>
    <t>Transporte por medios maritimos de lastres de herradura desde Puerto Arroyo Barril hasta Puerto Plata ( 140 millas Nauticas ) y colocación sobre tuberia apoyada en el fondo marino, hasta una profundidad de -55m, mediante equipo de buceadores.</t>
  </si>
  <si>
    <t>409.1</t>
  </si>
  <si>
    <t>Apertura de zanja submarina tramo M1 Pk 0+333 ( 0 ) al Pk 0+900 (-5,21) Según perfil longitudinal del Plano 6.2 del Proyecto Modificado.</t>
  </si>
  <si>
    <t>418.1</t>
  </si>
  <si>
    <t>Apertura de zanja submarina tramo M2  Pk 0+900 (-5,21) al Pk 1+600 (-12,14) Según perfil longitudinal del Plano 6.2 del Proyecto Modificado.</t>
  </si>
  <si>
    <t>418.2</t>
  </si>
  <si>
    <t>Apertura de zanja submarina tramo M3   Pk 1+600 (-12,14) al Pk 2+100 (-21,00) Según perfil longitudinal del Plano 6.2 del Proyecto Modificado</t>
  </si>
  <si>
    <t>418.3</t>
  </si>
  <si>
    <t>Apertura de zanja submarina tramo M4  Pk 2+100 (-21,00) al Pk 2+500 (-31,00) Según perfil longitudinal del Plano 6.2 del Proyecto Modificado</t>
  </si>
  <si>
    <t>418.4</t>
  </si>
  <si>
    <t>Apertura de zanja submarina tramo M5  Pk 2+500 (-31,00) al 2+900 (-41,00 ) Según perfil longitudinal del Plano 6.2 del Proyecto Modificado</t>
  </si>
  <si>
    <t>418.5</t>
  </si>
  <si>
    <t>Apertura de zanja submarina tramo M6 lPk 2+900 (-41,00) al Pk 3+153 (-50,00 ) Según perfil longitudinal del Plano 6.2 del Proyecto Modificado</t>
  </si>
  <si>
    <t>418.6</t>
  </si>
  <si>
    <t>Apertura de zanja submarina tramo M7 Pk 3+153 (-50,00 ) al Pk 3+441 ( -58,00 ) Según perfil longitudinal del Plano 6.2 del Proyecto Modificado</t>
  </si>
  <si>
    <t>426.1</t>
  </si>
  <si>
    <t>Cruce de tuberia de fuel oil</t>
  </si>
  <si>
    <t>427.1</t>
  </si>
  <si>
    <t>Cruce de tuberia de fibra link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</si>
</sst>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 * #,##0_ ;_ * \-#,##0_ ;_ * &quot;-&quot;_ ;_ @_ "/>
    <numFmt numFmtId="165" formatCode="_ * #,##0.00_ ;_ * \-#,##0.00_ ;_ * &quot;-&quot;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5">
    <xf numFmtId="0" fontId="0" fillId="0" borderId="0" xfId="0"/>
    <xf numFmtId="0" fontId="3" fillId="0" borderId="0" xfId="0" applyFont="1"/>
    <xf numFmtId="4" fontId="0" fillId="0" borderId="0" xfId="0" applyNumberFormat="1"/>
    <xf numFmtId="9" fontId="0" fillId="0" borderId="0" xfId="2" applyFont="1" applyAlignment="1">
      <alignment horizontal="center"/>
    </xf>
    <xf numFmtId="9" fontId="0" fillId="0" borderId="0" xfId="2" applyFont="1" applyBorder="1" applyAlignment="1">
      <alignment horizont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0" fillId="0" borderId="0" xfId="0" applyNumberFormat="1" applyBorder="1"/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9" fontId="0" fillId="2" borderId="7" xfId="2" applyFont="1" applyFill="1" applyBorder="1" applyAlignment="1">
      <alignment horizontal="center"/>
    </xf>
    <xf numFmtId="0" fontId="2" fillId="5" borderId="8" xfId="0" applyFont="1" applyFill="1" applyBorder="1"/>
    <xf numFmtId="0" fontId="2" fillId="5" borderId="10" xfId="0" applyFont="1" applyFill="1" applyBorder="1"/>
    <xf numFmtId="0" fontId="9" fillId="5" borderId="10" xfId="0" applyFont="1" applyFill="1" applyBorder="1" applyAlignment="1">
      <alignment horizontal="center"/>
    </xf>
    <xf numFmtId="4" fontId="2" fillId="5" borderId="10" xfId="0" applyNumberFormat="1" applyFont="1" applyFill="1" applyBorder="1" applyAlignment="1">
      <alignment horizontal="center"/>
    </xf>
    <xf numFmtId="9" fontId="10" fillId="6" borderId="10" xfId="2" applyFont="1" applyFill="1" applyBorder="1" applyAlignment="1">
      <alignment horizontal="center"/>
    </xf>
    <xf numFmtId="4" fontId="2" fillId="5" borderId="11" xfId="0" applyNumberFormat="1" applyFont="1" applyFill="1" applyBorder="1" applyAlignment="1">
      <alignment horizontal="center"/>
    </xf>
    <xf numFmtId="9" fontId="0" fillId="2" borderId="12" xfId="2" applyFont="1" applyFill="1" applyBorder="1" applyAlignment="1">
      <alignment horizontal="center"/>
    </xf>
    <xf numFmtId="4" fontId="11" fillId="5" borderId="10" xfId="0" applyNumberFormat="1" applyFont="1" applyFill="1" applyBorder="1" applyAlignment="1">
      <alignment horizontal="center"/>
    </xf>
    <xf numFmtId="4" fontId="11" fillId="4" borderId="8" xfId="0" applyNumberFormat="1" applyFont="1" applyFill="1" applyBorder="1"/>
    <xf numFmtId="4" fontId="2" fillId="4" borderId="9" xfId="0" applyNumberFormat="1" applyFont="1" applyFill="1" applyBorder="1"/>
    <xf numFmtId="0" fontId="3" fillId="7" borderId="13" xfId="0" applyFont="1" applyFill="1" applyBorder="1"/>
    <xf numFmtId="0" fontId="12" fillId="7" borderId="7" xfId="0" applyFont="1" applyFill="1" applyBorder="1"/>
    <xf numFmtId="0" fontId="3" fillId="0" borderId="0" xfId="0" applyFont="1" applyFill="1"/>
    <xf numFmtId="4" fontId="0" fillId="0" borderId="0" xfId="0" applyNumberFormat="1" applyFill="1"/>
    <xf numFmtId="9" fontId="0" fillId="0" borderId="0" xfId="2" applyFont="1" applyFill="1" applyAlignment="1">
      <alignment horizontal="center"/>
    </xf>
    <xf numFmtId="9" fontId="0" fillId="2" borderId="0" xfId="2" applyFont="1" applyFill="1" applyBorder="1" applyAlignment="1">
      <alignment horizontal="center"/>
    </xf>
    <xf numFmtId="0" fontId="3" fillId="0" borderId="13" xfId="0" applyFont="1" applyBorder="1"/>
    <xf numFmtId="0" fontId="3" fillId="0" borderId="7" xfId="0" applyFont="1" applyBorder="1"/>
    <xf numFmtId="0" fontId="3" fillId="0" borderId="3" xfId="0" applyFont="1" applyBorder="1"/>
    <xf numFmtId="4" fontId="3" fillId="0" borderId="14" xfId="0" applyNumberFormat="1" applyFont="1" applyBorder="1"/>
    <xf numFmtId="4" fontId="0" fillId="3" borderId="12" xfId="1" applyNumberFormat="1" applyFont="1" applyFill="1" applyBorder="1"/>
    <xf numFmtId="4" fontId="0" fillId="3" borderId="12" xfId="0" applyNumberFormat="1" applyFill="1" applyBorder="1"/>
    <xf numFmtId="4" fontId="3" fillId="0" borderId="12" xfId="0" applyNumberFormat="1" applyFont="1" applyBorder="1"/>
    <xf numFmtId="9" fontId="0" fillId="6" borderId="12" xfId="2" applyFont="1" applyFill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4" fontId="3" fillId="0" borderId="15" xfId="0" applyNumberFormat="1" applyFont="1" applyBorder="1"/>
    <xf numFmtId="9" fontId="0" fillId="6" borderId="15" xfId="2" applyFont="1" applyFill="1" applyBorder="1" applyAlignment="1">
      <alignment horizontal="center"/>
    </xf>
    <xf numFmtId="4" fontId="0" fillId="3" borderId="15" xfId="1" applyNumberFormat="1" applyFont="1" applyFill="1" applyBorder="1"/>
    <xf numFmtId="0" fontId="3" fillId="7" borderId="1" xfId="0" applyFont="1" applyFill="1" applyBorder="1"/>
    <xf numFmtId="0" fontId="12" fillId="7" borderId="3" xfId="0" applyFont="1" applyFill="1" applyBorder="1"/>
    <xf numFmtId="0" fontId="3" fillId="7" borderId="0" xfId="0" applyFont="1" applyFill="1"/>
    <xf numFmtId="4" fontId="3" fillId="7" borderId="0" xfId="0" applyNumberFormat="1" applyFont="1" applyFill="1"/>
    <xf numFmtId="4" fontId="2" fillId="3" borderId="16" xfId="0" applyNumberFormat="1" applyFont="1" applyFill="1" applyBorder="1"/>
    <xf numFmtId="4" fontId="0" fillId="3" borderId="15" xfId="0" applyNumberFormat="1" applyFill="1" applyBorder="1"/>
    <xf numFmtId="4" fontId="2" fillId="4" borderId="16" xfId="0" applyNumberFormat="1" applyFont="1" applyFill="1" applyBorder="1"/>
    <xf numFmtId="4" fontId="0" fillId="4" borderId="12" xfId="0" applyNumberFormat="1" applyFill="1" applyBorder="1"/>
    <xf numFmtId="4" fontId="3" fillId="0" borderId="12" xfId="0" applyNumberFormat="1" applyFont="1" applyFill="1" applyBorder="1"/>
    <xf numFmtId="4" fontId="0" fillId="4" borderId="15" xfId="0" applyNumberFormat="1" applyFill="1" applyBorder="1"/>
    <xf numFmtId="4" fontId="3" fillId="0" borderId="0" xfId="0" applyNumberFormat="1" applyFont="1" applyFill="1"/>
    <xf numFmtId="4" fontId="0" fillId="0" borderId="0" xfId="1" applyNumberFormat="1" applyFont="1" applyFill="1"/>
    <xf numFmtId="0" fontId="3" fillId="0" borderId="9" xfId="0" applyFont="1" applyBorder="1"/>
    <xf numFmtId="4" fontId="3" fillId="0" borderId="11" xfId="0" applyNumberFormat="1" applyFont="1" applyFill="1" applyBorder="1"/>
    <xf numFmtId="9" fontId="0" fillId="6" borderId="11" xfId="2" applyFont="1" applyFill="1" applyBorder="1" applyAlignment="1">
      <alignment horizontal="center"/>
    </xf>
    <xf numFmtId="0" fontId="0" fillId="7" borderId="0" xfId="0" applyFill="1"/>
    <xf numFmtId="4" fontId="2" fillId="3" borderId="11" xfId="0" applyNumberFormat="1" applyFont="1" applyFill="1" applyBorder="1"/>
    <xf numFmtId="4" fontId="2" fillId="4" borderId="11" xfId="0" applyNumberFormat="1" applyFont="1" applyFill="1" applyBorder="1"/>
    <xf numFmtId="4" fontId="2" fillId="0" borderId="0" xfId="0" applyNumberFormat="1" applyFont="1"/>
    <xf numFmtId="4" fontId="2" fillId="0" borderId="0" xfId="1" applyNumberFormat="1" applyFont="1"/>
    <xf numFmtId="4" fontId="2" fillId="0" borderId="0" xfId="0" applyNumberFormat="1" applyFont="1" applyFill="1" applyBorder="1"/>
    <xf numFmtId="0" fontId="0" fillId="0" borderId="0" xfId="0" applyAlignment="1"/>
    <xf numFmtId="0" fontId="0" fillId="5" borderId="0" xfId="0" applyFill="1" applyAlignment="1"/>
    <xf numFmtId="9" fontId="0" fillId="0" borderId="0" xfId="2" applyFont="1" applyFill="1" applyBorder="1" applyAlignment="1">
      <alignment horizontal="center"/>
    </xf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right"/>
    </xf>
    <xf numFmtId="4" fontId="0" fillId="0" borderId="0" xfId="0" applyNumberFormat="1" applyFont="1" applyFill="1" applyBorder="1"/>
    <xf numFmtId="4" fontId="2" fillId="0" borderId="0" xfId="1" applyNumberFormat="1" applyFont="1" applyFill="1" applyBorder="1"/>
    <xf numFmtId="4" fontId="13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13" fillId="3" borderId="19" xfId="0" applyFont="1" applyFill="1" applyBorder="1" applyAlignment="1"/>
    <xf numFmtId="0" fontId="14" fillId="3" borderId="20" xfId="0" applyFont="1" applyFill="1" applyBorder="1" applyAlignment="1"/>
    <xf numFmtId="0" fontId="14" fillId="3" borderId="20" xfId="0" applyFont="1" applyFill="1" applyBorder="1" applyAlignment="1">
      <alignment horizontal="right"/>
    </xf>
    <xf numFmtId="4" fontId="2" fillId="3" borderId="21" xfId="0" applyNumberFormat="1" applyFont="1" applyFill="1" applyBorder="1"/>
    <xf numFmtId="0" fontId="0" fillId="5" borderId="0" xfId="0" applyFill="1" applyBorder="1" applyAlignment="1"/>
    <xf numFmtId="0" fontId="13" fillId="3" borderId="22" xfId="0" applyFont="1" applyFill="1" applyBorder="1" applyAlignment="1"/>
    <xf numFmtId="0" fontId="14" fillId="3" borderId="23" xfId="0" applyFont="1" applyFill="1" applyBorder="1" applyAlignment="1"/>
    <xf numFmtId="0" fontId="14" fillId="3" borderId="24" xfId="0" applyFont="1" applyFill="1" applyBorder="1" applyAlignment="1">
      <alignment horizontal="right"/>
    </xf>
    <xf numFmtId="4" fontId="2" fillId="3" borderId="25" xfId="0" applyNumberFormat="1" applyFont="1" applyFill="1" applyBorder="1"/>
    <xf numFmtId="0" fontId="0" fillId="0" borderId="17" xfId="0" applyBorder="1"/>
    <xf numFmtId="0" fontId="0" fillId="0" borderId="26" xfId="0" applyBorder="1"/>
    <xf numFmtId="0" fontId="0" fillId="0" borderId="18" xfId="0" applyBorder="1"/>
    <xf numFmtId="0" fontId="0" fillId="5" borderId="0" xfId="0" applyFill="1"/>
    <xf numFmtId="0" fontId="13" fillId="3" borderId="27" xfId="0" applyFont="1" applyFill="1" applyBorder="1" applyAlignment="1"/>
    <xf numFmtId="0" fontId="14" fillId="3" borderId="28" xfId="0" applyFont="1" applyFill="1" applyBorder="1" applyAlignment="1"/>
    <xf numFmtId="0" fontId="14" fillId="3" borderId="29" xfId="0" applyFont="1" applyFill="1" applyBorder="1" applyAlignment="1">
      <alignment horizontal="right"/>
    </xf>
    <xf numFmtId="4" fontId="2" fillId="3" borderId="30" xfId="0" applyNumberFormat="1" applyFont="1" applyFill="1" applyBorder="1"/>
    <xf numFmtId="0" fontId="14" fillId="3" borderId="8" xfId="0" applyFont="1" applyFill="1" applyBorder="1" applyAlignment="1"/>
    <xf numFmtId="0" fontId="14" fillId="3" borderId="10" xfId="0" applyFont="1" applyFill="1" applyBorder="1" applyAlignment="1"/>
    <xf numFmtId="0" fontId="14" fillId="3" borderId="31" xfId="0" applyFont="1" applyFill="1" applyBorder="1" applyAlignment="1">
      <alignment horizontal="right"/>
    </xf>
    <xf numFmtId="4" fontId="2" fillId="3" borderId="32" xfId="0" applyNumberFormat="1" applyFont="1" applyFill="1" applyBorder="1"/>
    <xf numFmtId="4" fontId="8" fillId="0" borderId="0" xfId="0" applyNumberFormat="1" applyFont="1" applyFill="1" applyBorder="1"/>
    <xf numFmtId="4" fontId="13" fillId="0" borderId="0" xfId="0" applyNumberFormat="1" applyFont="1" applyFill="1" applyBorder="1"/>
    <xf numFmtId="0" fontId="0" fillId="5" borderId="0" xfId="0" applyFill="1" applyBorder="1"/>
    <xf numFmtId="0" fontId="0" fillId="0" borderId="33" xfId="0" applyBorder="1"/>
    <xf numFmtId="4" fontId="0" fillId="0" borderId="0" xfId="0" applyNumberFormat="1" applyAlignment="1">
      <alignment horizontal="right"/>
    </xf>
    <xf numFmtId="4" fontId="13" fillId="4" borderId="34" xfId="0" applyNumberFormat="1" applyFont="1" applyFill="1" applyBorder="1"/>
    <xf numFmtId="4" fontId="13" fillId="4" borderId="35" xfId="0" applyNumberFormat="1" applyFont="1" applyFill="1" applyBorder="1"/>
    <xf numFmtId="4" fontId="2" fillId="4" borderId="21" xfId="0" applyNumberFormat="1" applyFont="1" applyFill="1" applyBorder="1"/>
    <xf numFmtId="4" fontId="13" fillId="4" borderId="36" xfId="0" applyNumberFormat="1" applyFont="1" applyFill="1" applyBorder="1"/>
    <xf numFmtId="4" fontId="13" fillId="4" borderId="33" xfId="0" applyNumberFormat="1" applyFont="1" applyFill="1" applyBorder="1"/>
    <xf numFmtId="4" fontId="2" fillId="4" borderId="25" xfId="0" applyNumberFormat="1" applyFont="1" applyFill="1" applyBorder="1"/>
    <xf numFmtId="0" fontId="0" fillId="5" borderId="33" xfId="0" applyFill="1" applyBorder="1"/>
    <xf numFmtId="4" fontId="13" fillId="4" borderId="37" xfId="0" applyNumberFormat="1" applyFont="1" applyFill="1" applyBorder="1"/>
    <xf numFmtId="4" fontId="13" fillId="4" borderId="17" xfId="0" applyNumberFormat="1" applyFont="1" applyFill="1" applyBorder="1"/>
    <xf numFmtId="4" fontId="2" fillId="4" borderId="30" xfId="0" applyNumberFormat="1" applyFont="1" applyFill="1" applyBorder="1"/>
    <xf numFmtId="4" fontId="14" fillId="4" borderId="38" xfId="0" applyNumberFormat="1" applyFont="1" applyFill="1" applyBorder="1"/>
    <xf numFmtId="4" fontId="13" fillId="4" borderId="39" xfId="0" applyNumberFormat="1" applyFont="1" applyFill="1" applyBorder="1"/>
    <xf numFmtId="4" fontId="2" fillId="4" borderId="32" xfId="0" applyNumberFormat="1" applyFont="1" applyFill="1" applyBorder="1"/>
    <xf numFmtId="0" fontId="0" fillId="8" borderId="0" xfId="0" applyFill="1"/>
    <xf numFmtId="0" fontId="3" fillId="9" borderId="13" xfId="0" applyFont="1" applyFill="1" applyBorder="1"/>
    <xf numFmtId="0" fontId="3" fillId="9" borderId="7" xfId="0" applyFont="1" applyFill="1" applyBorder="1"/>
    <xf numFmtId="0" fontId="3" fillId="9" borderId="3" xfId="0" applyFont="1" applyFill="1" applyBorder="1"/>
    <xf numFmtId="4" fontId="3" fillId="9" borderId="14" xfId="0" applyNumberFormat="1" applyFont="1" applyFill="1" applyBorder="1"/>
    <xf numFmtId="9" fontId="0" fillId="9" borderId="14" xfId="2" applyFont="1" applyFill="1" applyBorder="1" applyAlignment="1">
      <alignment horizontal="center"/>
    </xf>
    <xf numFmtId="9" fontId="0" fillId="9" borderId="12" xfId="2" applyFont="1" applyFill="1" applyBorder="1" applyAlignment="1">
      <alignment horizontal="center"/>
    </xf>
    <xf numFmtId="4" fontId="0" fillId="9" borderId="12" xfId="0" applyNumberFormat="1" applyFill="1" applyBorder="1"/>
    <xf numFmtId="0" fontId="0" fillId="0" borderId="0" xfId="0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4" fontId="3" fillId="0" borderId="12" xfId="0" applyNumberFormat="1" applyFont="1" applyFill="1" applyBorder="1" applyAlignment="1">
      <alignment vertical="top" wrapText="1"/>
    </xf>
    <xf numFmtId="4" fontId="0" fillId="3" borderId="12" xfId="0" applyNumberFormat="1" applyFill="1" applyBorder="1" applyAlignment="1">
      <alignment vertical="top"/>
    </xf>
    <xf numFmtId="4" fontId="0" fillId="4" borderId="12" xfId="0" applyNumberFormat="1" applyFill="1" applyBorder="1" applyAlignment="1">
      <alignment vertical="top"/>
    </xf>
    <xf numFmtId="9" fontId="0" fillId="2" borderId="12" xfId="2" applyFont="1" applyFill="1" applyBorder="1" applyAlignment="1">
      <alignment horizontal="center" vertical="top"/>
    </xf>
    <xf numFmtId="4" fontId="0" fillId="3" borderId="12" xfId="1" applyNumberFormat="1" applyFont="1" applyFill="1" applyBorder="1" applyAlignment="1">
      <alignment vertical="top"/>
    </xf>
    <xf numFmtId="4" fontId="2" fillId="4" borderId="11" xfId="0" applyNumberFormat="1" applyFont="1" applyFill="1" applyBorder="1" applyAlignment="1">
      <alignment horizontal="center"/>
    </xf>
    <xf numFmtId="4" fontId="0" fillId="4" borderId="12" xfId="1" applyNumberFormat="1" applyFont="1" applyFill="1" applyBorder="1"/>
    <xf numFmtId="4" fontId="0" fillId="4" borderId="15" xfId="1" applyNumberFormat="1" applyFont="1" applyFill="1" applyBorder="1"/>
    <xf numFmtId="4" fontId="0" fillId="4" borderId="12" xfId="1" applyNumberFormat="1" applyFont="1" applyFill="1" applyBorder="1" applyAlignment="1">
      <alignment vertical="top"/>
    </xf>
    <xf numFmtId="0" fontId="15" fillId="10" borderId="13" xfId="0" applyFont="1" applyFill="1" applyBorder="1"/>
    <xf numFmtId="0" fontId="15" fillId="10" borderId="7" xfId="0" applyFont="1" applyFill="1" applyBorder="1"/>
    <xf numFmtId="0" fontId="15" fillId="10" borderId="3" xfId="0" applyFont="1" applyFill="1" applyBorder="1"/>
    <xf numFmtId="4" fontId="15" fillId="10" borderId="14" xfId="0" applyNumberFormat="1" applyFont="1" applyFill="1" applyBorder="1"/>
    <xf numFmtId="9" fontId="16" fillId="10" borderId="14" xfId="2" applyFont="1" applyFill="1" applyBorder="1" applyAlignment="1">
      <alignment horizontal="center"/>
    </xf>
    <xf numFmtId="4" fontId="16" fillId="10" borderId="12" xfId="1" applyNumberFormat="1" applyFont="1" applyFill="1" applyBorder="1"/>
    <xf numFmtId="9" fontId="16" fillId="10" borderId="0" xfId="2" applyFont="1" applyFill="1" applyBorder="1" applyAlignment="1">
      <alignment horizontal="center"/>
    </xf>
    <xf numFmtId="4" fontId="16" fillId="10" borderId="12" xfId="0" applyNumberFormat="1" applyFont="1" applyFill="1" applyBorder="1"/>
    <xf numFmtId="4" fontId="15" fillId="10" borderId="12" xfId="0" applyNumberFormat="1" applyFont="1" applyFill="1" applyBorder="1"/>
    <xf numFmtId="9" fontId="16" fillId="10" borderId="12" xfId="2" applyFont="1" applyFill="1" applyBorder="1" applyAlignment="1">
      <alignment horizontal="center"/>
    </xf>
    <xf numFmtId="0" fontId="3" fillId="0" borderId="12" xfId="0" applyFont="1" applyBorder="1"/>
    <xf numFmtId="0" fontId="15" fillId="10" borderId="4" xfId="0" applyFont="1" applyFill="1" applyBorder="1"/>
    <xf numFmtId="0" fontId="15" fillId="10" borderId="6" xfId="0" applyFont="1" applyFill="1" applyBorder="1"/>
    <xf numFmtId="4" fontId="15" fillId="10" borderId="15" xfId="0" applyNumberFormat="1" applyFont="1" applyFill="1" applyBorder="1"/>
    <xf numFmtId="9" fontId="16" fillId="10" borderId="15" xfId="2" applyFont="1" applyFill="1" applyBorder="1" applyAlignment="1">
      <alignment horizontal="center"/>
    </xf>
    <xf numFmtId="4" fontId="16" fillId="10" borderId="15" xfId="0" applyNumberFormat="1" applyFont="1" applyFill="1" applyBorder="1"/>
    <xf numFmtId="4" fontId="16" fillId="10" borderId="15" xfId="1" applyNumberFormat="1" applyFont="1" applyFill="1" applyBorder="1"/>
    <xf numFmtId="9" fontId="16" fillId="10" borderId="7" xfId="2" applyFont="1" applyFill="1" applyBorder="1" applyAlignment="1">
      <alignment horizontal="center"/>
    </xf>
    <xf numFmtId="0" fontId="15" fillId="10" borderId="13" xfId="0" applyFont="1" applyFill="1" applyBorder="1" applyAlignment="1">
      <alignment horizontal="right"/>
    </xf>
    <xf numFmtId="4" fontId="16" fillId="10" borderId="0" xfId="0" applyNumberFormat="1" applyFont="1" applyFill="1"/>
    <xf numFmtId="4" fontId="16" fillId="10" borderId="0" xfId="1" applyNumberFormat="1" applyFont="1" applyFill="1"/>
    <xf numFmtId="0" fontId="15" fillId="10" borderId="4" xfId="0" applyFont="1" applyFill="1" applyBorder="1" applyAlignment="1">
      <alignment horizontal="right"/>
    </xf>
    <xf numFmtId="0" fontId="3" fillId="0" borderId="8" xfId="0" applyFont="1" applyFill="1" applyBorder="1"/>
    <xf numFmtId="4" fontId="3" fillId="0" borderId="10" xfId="0" applyNumberFormat="1" applyFont="1" applyFill="1" applyBorder="1"/>
    <xf numFmtId="9" fontId="0" fillId="0" borderId="10" xfId="2" applyFont="1" applyFill="1" applyBorder="1" applyAlignment="1">
      <alignment horizontal="center"/>
    </xf>
    <xf numFmtId="4" fontId="2" fillId="3" borderId="11" xfId="1" applyNumberFormat="1" applyFont="1" applyFill="1" applyBorder="1"/>
    <xf numFmtId="4" fontId="2" fillId="4" borderId="11" xfId="1" applyNumberFormat="1" applyFont="1" applyFill="1" applyBorder="1"/>
    <xf numFmtId="4" fontId="2" fillId="3" borderId="14" xfId="0" applyNumberFormat="1" applyFont="1" applyFill="1" applyBorder="1"/>
    <xf numFmtId="4" fontId="2" fillId="4" borderId="14" xfId="0" applyNumberFormat="1" applyFont="1" applyFill="1" applyBorder="1"/>
    <xf numFmtId="4" fontId="0" fillId="9" borderId="14" xfId="0" applyNumberFormat="1" applyFill="1" applyBorder="1"/>
    <xf numFmtId="4" fontId="0" fillId="9" borderId="14" xfId="1" applyNumberFormat="1" applyFont="1" applyFill="1" applyBorder="1"/>
    <xf numFmtId="0" fontId="15" fillId="10" borderId="8" xfId="0" applyFont="1" applyFill="1" applyBorder="1"/>
    <xf numFmtId="0" fontId="15" fillId="10" borderId="9" xfId="0" applyFont="1" applyFill="1" applyBorder="1"/>
    <xf numFmtId="0" fontId="15" fillId="10" borderId="11" xfId="0" applyFont="1" applyFill="1" applyBorder="1"/>
    <xf numFmtId="4" fontId="15" fillId="10" borderId="11" xfId="0" applyNumberFormat="1" applyFont="1" applyFill="1" applyBorder="1"/>
    <xf numFmtId="9" fontId="16" fillId="10" borderId="11" xfId="2" applyFont="1" applyFill="1" applyBorder="1" applyAlignment="1">
      <alignment horizontal="center"/>
    </xf>
    <xf numFmtId="4" fontId="0" fillId="0" borderId="11" xfId="1" applyNumberFormat="1" applyFont="1" applyFill="1" applyBorder="1"/>
    <xf numFmtId="4" fontId="0" fillId="4" borderId="11" xfId="1" applyNumberFormat="1" applyFont="1" applyFill="1" applyBorder="1"/>
    <xf numFmtId="4" fontId="0" fillId="0" borderId="11" xfId="0" applyNumberFormat="1" applyBorder="1"/>
    <xf numFmtId="4" fontId="0" fillId="4" borderId="11" xfId="0" applyNumberFormat="1" applyFill="1" applyBorder="1"/>
    <xf numFmtId="4" fontId="0" fillId="0" borderId="11" xfId="0" applyNumberFormat="1" applyFill="1" applyBorder="1"/>
    <xf numFmtId="4" fontId="0" fillId="0" borderId="11" xfId="1" applyNumberFormat="1" applyFont="1" applyBorder="1"/>
    <xf numFmtId="4" fontId="3" fillId="4" borderId="12" xfId="0" applyNumberFormat="1" applyFont="1" applyFill="1" applyBorder="1"/>
    <xf numFmtId="4" fontId="15" fillId="4" borderId="15" xfId="0" applyNumberFormat="1" applyFont="1" applyFill="1" applyBorder="1"/>
    <xf numFmtId="4" fontId="3" fillId="4" borderId="0" xfId="0" applyNumberFormat="1" applyFont="1" applyFill="1"/>
    <xf numFmtId="4" fontId="3" fillId="4" borderId="14" xfId="0" applyNumberFormat="1" applyFont="1" applyFill="1" applyBorder="1"/>
    <xf numFmtId="4" fontId="3" fillId="4" borderId="12" xfId="0" applyNumberFormat="1" applyFont="1" applyFill="1" applyBorder="1" applyAlignment="1">
      <alignment vertical="top" wrapText="1"/>
    </xf>
    <xf numFmtId="4" fontId="3" fillId="4" borderId="15" xfId="0" applyNumberFormat="1" applyFont="1" applyFill="1" applyBorder="1"/>
    <xf numFmtId="4" fontId="3" fillId="4" borderId="11" xfId="0" applyNumberFormat="1" applyFont="1" applyFill="1" applyBorder="1"/>
    <xf numFmtId="4" fontId="3" fillId="4" borderId="10" xfId="0" applyNumberFormat="1" applyFont="1" applyFill="1" applyBorder="1"/>
    <xf numFmtId="9" fontId="0" fillId="11" borderId="12" xfId="2" applyFont="1" applyFill="1" applyBorder="1" applyAlignment="1">
      <alignment horizontal="center"/>
    </xf>
    <xf numFmtId="9" fontId="0" fillId="11" borderId="14" xfId="2" applyFont="1" applyFill="1" applyBorder="1" applyAlignment="1">
      <alignment horizontal="center"/>
    </xf>
    <xf numFmtId="9" fontId="0" fillId="11" borderId="12" xfId="2" applyFont="1" applyFill="1" applyBorder="1" applyAlignment="1">
      <alignment horizontal="center" vertical="top" wrapText="1"/>
    </xf>
    <xf numFmtId="9" fontId="0" fillId="11" borderId="15" xfId="2" applyFont="1" applyFill="1" applyBorder="1" applyAlignment="1">
      <alignment horizontal="center"/>
    </xf>
    <xf numFmtId="165" fontId="0" fillId="0" borderId="0" xfId="3" applyNumberFormat="1" applyFont="1" applyBorder="1" applyAlignment="1">
      <alignment horizontal="center"/>
    </xf>
    <xf numFmtId="165" fontId="5" fillId="0" borderId="2" xfId="3" applyNumberFormat="1" applyFont="1" applyBorder="1" applyAlignment="1">
      <alignment horizontal="center" vertical="center"/>
    </xf>
    <xf numFmtId="165" fontId="5" fillId="0" borderId="0" xfId="3" applyNumberFormat="1" applyFont="1" applyBorder="1" applyAlignment="1">
      <alignment horizontal="center" vertical="center"/>
    </xf>
    <xf numFmtId="165" fontId="5" fillId="0" borderId="5" xfId="3" applyNumberFormat="1" applyFont="1" applyBorder="1" applyAlignment="1">
      <alignment horizontal="center" vertical="center"/>
    </xf>
    <xf numFmtId="165" fontId="10" fillId="6" borderId="10" xfId="3" applyNumberFormat="1" applyFont="1" applyFill="1" applyBorder="1" applyAlignment="1">
      <alignment horizontal="center"/>
    </xf>
    <xf numFmtId="165" fontId="0" fillId="0" borderId="0" xfId="3" applyNumberFormat="1" applyFont="1" applyFill="1" applyAlignment="1">
      <alignment horizontal="center"/>
    </xf>
    <xf numFmtId="165" fontId="16" fillId="10" borderId="14" xfId="3" applyNumberFormat="1" applyFont="1" applyFill="1" applyBorder="1" applyAlignment="1">
      <alignment horizontal="center"/>
    </xf>
    <xf numFmtId="165" fontId="0" fillId="11" borderId="12" xfId="3" applyNumberFormat="1" applyFont="1" applyFill="1" applyBorder="1" applyAlignment="1">
      <alignment horizontal="center"/>
    </xf>
    <xf numFmtId="165" fontId="16" fillId="10" borderId="12" xfId="3" applyNumberFormat="1" applyFont="1" applyFill="1" applyBorder="1" applyAlignment="1">
      <alignment horizontal="center"/>
    </xf>
    <xf numFmtId="165" fontId="16" fillId="10" borderId="15" xfId="3" applyNumberFormat="1" applyFont="1" applyFill="1" applyBorder="1" applyAlignment="1">
      <alignment horizontal="center"/>
    </xf>
    <xf numFmtId="165" fontId="0" fillId="11" borderId="14" xfId="3" applyNumberFormat="1" applyFont="1" applyFill="1" applyBorder="1" applyAlignment="1">
      <alignment horizontal="center"/>
    </xf>
    <xf numFmtId="165" fontId="0" fillId="9" borderId="14" xfId="3" applyNumberFormat="1" applyFont="1" applyFill="1" applyBorder="1" applyAlignment="1">
      <alignment horizontal="center"/>
    </xf>
    <xf numFmtId="165" fontId="0" fillId="11" borderId="12" xfId="3" applyNumberFormat="1" applyFont="1" applyFill="1" applyBorder="1" applyAlignment="1">
      <alignment horizontal="center" vertical="top" wrapText="1"/>
    </xf>
    <xf numFmtId="165" fontId="0" fillId="11" borderId="15" xfId="3" applyNumberFormat="1" applyFont="1" applyFill="1" applyBorder="1" applyAlignment="1">
      <alignment horizontal="center"/>
    </xf>
    <xf numFmtId="165" fontId="0" fillId="6" borderId="8" xfId="3" applyNumberFormat="1" applyFont="1" applyFill="1" applyBorder="1" applyAlignment="1">
      <alignment horizontal="center"/>
    </xf>
    <xf numFmtId="165" fontId="0" fillId="0" borderId="10" xfId="3" applyNumberFormat="1" applyFont="1" applyFill="1" applyBorder="1" applyAlignment="1">
      <alignment horizontal="center"/>
    </xf>
    <xf numFmtId="165" fontId="0" fillId="6" borderId="12" xfId="3" applyNumberFormat="1" applyFont="1" applyFill="1" applyBorder="1" applyAlignment="1">
      <alignment horizontal="center"/>
    </xf>
    <xf numFmtId="165" fontId="0" fillId="6" borderId="15" xfId="3" applyNumberFormat="1" applyFont="1" applyFill="1" applyBorder="1" applyAlignment="1">
      <alignment horizontal="center"/>
    </xf>
    <xf numFmtId="165" fontId="16" fillId="10" borderId="11" xfId="3" applyNumberFormat="1" applyFont="1" applyFill="1" applyBorder="1" applyAlignment="1">
      <alignment horizontal="center"/>
    </xf>
    <xf numFmtId="165" fontId="0" fillId="2" borderId="0" xfId="3" applyNumberFormat="1" applyFont="1" applyFill="1" applyBorder="1" applyAlignment="1">
      <alignment horizontal="center"/>
    </xf>
    <xf numFmtId="165" fontId="0" fillId="2" borderId="0" xfId="3" applyNumberFormat="1" applyFont="1" applyFill="1" applyAlignment="1">
      <alignment horizontal="center"/>
    </xf>
    <xf numFmtId="165" fontId="0" fillId="0" borderId="0" xfId="3" applyNumberFormat="1" applyFont="1" applyFill="1" applyBorder="1" applyAlignment="1">
      <alignment horizontal="center"/>
    </xf>
    <xf numFmtId="165" fontId="8" fillId="0" borderId="0" xfId="3" applyNumberFormat="1" applyFont="1" applyFill="1" applyBorder="1" applyAlignment="1"/>
    <xf numFmtId="165" fontId="8" fillId="2" borderId="0" xfId="3" applyNumberFormat="1" applyFont="1" applyFill="1" applyBorder="1" applyAlignment="1"/>
    <xf numFmtId="165" fontId="0" fillId="0" borderId="0" xfId="3" applyNumberFormat="1" applyFont="1"/>
    <xf numFmtId="4" fontId="0" fillId="0" borderId="0" xfId="0" applyNumberFormat="1" applyBorder="1" applyAlignment="1">
      <alignment horizontal="center"/>
    </xf>
    <xf numFmtId="4" fontId="0" fillId="3" borderId="8" xfId="0" applyNumberFormat="1" applyFill="1" applyBorder="1" applyAlignment="1">
      <alignment horizontal="center"/>
    </xf>
    <xf numFmtId="4" fontId="0" fillId="3" borderId="10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" fontId="8" fillId="3" borderId="8" xfId="0" applyNumberFormat="1" applyFont="1" applyFill="1" applyBorder="1" applyAlignment="1">
      <alignment horizontal="center"/>
    </xf>
    <xf numFmtId="4" fontId="8" fillId="3" borderId="9" xfId="0" applyNumberFormat="1" applyFont="1" applyFill="1" applyBorder="1" applyAlignment="1">
      <alignment horizontal="center"/>
    </xf>
    <xf numFmtId="4" fontId="2" fillId="4" borderId="10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4">
    <cellStyle name="Millares [0]" xfId="3" builtinId="6"/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ramonrosario/Downloads/CERTIFICACIONES/CERTIFICACIONES%20SAMASA%20a%20informe%20Agosto%202016%20CORREGIDO%20CON%20INFO%20SAMAS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 CERT"/>
      <sheetName val="Avance Físico"/>
      <sheetName val="Avance financiero"/>
      <sheetName val="CERT 8 AGOSTO MODIFICADO."/>
      <sheetName val="CERT 7"/>
      <sheetName val="CERT 6"/>
      <sheetName val="CERT 5"/>
      <sheetName val="CERT 4"/>
      <sheetName val="CERT 3"/>
      <sheetName val="CERT 2"/>
      <sheetName val="CERT 1 (ANTICIPO)"/>
      <sheetName val="DESGLOSE PARTIDAS"/>
      <sheetName val="Presupuesto Completo"/>
      <sheetName val="Lista n 1"/>
      <sheetName val="Lista n 1 repuestos"/>
      <sheetName val="Lista n 4-1"/>
      <sheetName val="Lista n 4-2"/>
      <sheetName val="Lista n 4-3"/>
      <sheetName val="Lista n 4-4"/>
      <sheetName val="Lista n 4-5"/>
      <sheetName val="Lista n 5"/>
      <sheetName val="Lista 6"/>
      <sheetName val="Hoja2"/>
    </sheetNames>
    <sheetDataSet>
      <sheetData sheetId="0"/>
      <sheetData sheetId="1"/>
      <sheetData sheetId="2"/>
      <sheetData sheetId="3"/>
      <sheetData sheetId="4"/>
      <sheetData sheetId="5">
        <row r="85">
          <cell r="M85">
            <v>14219711.770000001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1"/>
  <sheetViews>
    <sheetView tabSelected="1" topLeftCell="A10" zoomScale="91" zoomScaleNormal="91" zoomScalePageLayoutView="125" workbookViewId="0">
      <selection activeCell="D124" sqref="D124"/>
    </sheetView>
  </sheetViews>
  <sheetFormatPr baseColWidth="10" defaultRowHeight="15"/>
  <cols>
    <col min="1" max="1" width="2.85546875" customWidth="1"/>
    <col min="2" max="2" width="7.42578125" customWidth="1"/>
    <col min="3" max="3" width="41.28515625" customWidth="1"/>
    <col min="4" max="4" width="3.28515625" style="1" customWidth="1"/>
    <col min="5" max="5" width="7.42578125" style="2" bestFit="1" customWidth="1"/>
    <col min="6" max="6" width="8.140625" style="2" bestFit="1" customWidth="1"/>
    <col min="7" max="7" width="10.140625" style="2" bestFit="1" customWidth="1"/>
    <col min="8" max="8" width="6.42578125" style="3" customWidth="1"/>
    <col min="9" max="9" width="12.28515625" style="189" bestFit="1" customWidth="1"/>
    <col min="10" max="10" width="16.42578125" style="2" customWidth="1"/>
    <col min="11" max="11" width="15.42578125" style="2" customWidth="1"/>
    <col min="12" max="12" width="3.28515625" style="2" customWidth="1"/>
    <col min="13" max="13" width="16.28515625" style="2" customWidth="1"/>
    <col min="14" max="14" width="15.140625" style="2" customWidth="1"/>
    <col min="15" max="15" width="14.140625" style="2" customWidth="1"/>
    <col min="16" max="16" width="15.85546875" style="2" customWidth="1"/>
    <col min="17" max="17" width="17.28515625" style="2" bestFit="1" customWidth="1"/>
    <col min="18" max="18" width="17.85546875" style="2" customWidth="1"/>
    <col min="19" max="19" width="19" customWidth="1"/>
  </cols>
  <sheetData>
    <row r="1" spans="1:18">
      <c r="R1"/>
    </row>
    <row r="2" spans="1:18" ht="46.5" hidden="1">
      <c r="B2" s="220" t="s">
        <v>0</v>
      </c>
      <c r="C2" s="221"/>
      <c r="D2" s="221"/>
      <c r="E2" s="221"/>
      <c r="F2" s="221"/>
      <c r="G2" s="221"/>
      <c r="H2" s="221"/>
      <c r="I2" s="190"/>
      <c r="J2" s="5"/>
      <c r="K2" s="5"/>
      <c r="L2" s="5"/>
      <c r="M2" s="224" t="s">
        <v>1</v>
      </c>
      <c r="N2" s="224"/>
      <c r="O2" s="224"/>
      <c r="P2" s="225"/>
      <c r="R2"/>
    </row>
    <row r="3" spans="1:18" ht="47.25" hidden="1" thickBot="1">
      <c r="B3" s="222"/>
      <c r="C3" s="223"/>
      <c r="D3" s="223"/>
      <c r="E3" s="223"/>
      <c r="F3" s="223"/>
      <c r="G3" s="223"/>
      <c r="H3" s="223"/>
      <c r="I3" s="228" t="s">
        <v>2</v>
      </c>
      <c r="J3" s="228"/>
      <c r="K3" s="228"/>
      <c r="L3" s="6"/>
      <c r="M3" s="226"/>
      <c r="N3" s="226"/>
      <c r="O3" s="226"/>
      <c r="P3" s="227"/>
      <c r="R3"/>
    </row>
    <row r="4" spans="1:18" ht="20.100000000000001" customHeight="1" thickBot="1">
      <c r="B4" s="7"/>
      <c r="C4" s="7"/>
      <c r="D4" s="8"/>
      <c r="E4" s="7"/>
      <c r="F4" s="7"/>
      <c r="G4" s="7"/>
      <c r="H4" s="7"/>
      <c r="I4" s="191"/>
      <c r="J4" s="9"/>
      <c r="K4" s="9"/>
      <c r="L4" s="9"/>
      <c r="M4" s="10"/>
      <c r="N4" s="10"/>
      <c r="O4" s="10"/>
      <c r="P4" s="10"/>
      <c r="Q4" s="11"/>
      <c r="R4"/>
    </row>
    <row r="5" spans="1:18" ht="47.25" thickBot="1">
      <c r="B5" s="12"/>
      <c r="C5" s="12"/>
      <c r="D5" s="13"/>
      <c r="E5" s="12"/>
      <c r="F5" s="219" t="s">
        <v>96</v>
      </c>
      <c r="G5" s="219"/>
      <c r="H5" s="12"/>
      <c r="I5" s="192"/>
      <c r="J5" s="9"/>
      <c r="K5" s="9"/>
      <c r="L5" s="14"/>
      <c r="M5" s="229" t="s">
        <v>3</v>
      </c>
      <c r="N5" s="230"/>
      <c r="O5" s="231" t="s">
        <v>4</v>
      </c>
      <c r="P5" s="232"/>
      <c r="R5"/>
    </row>
    <row r="6" spans="1:18" ht="15.75" thickBot="1">
      <c r="B6" s="15" t="s">
        <v>5</v>
      </c>
      <c r="C6" s="16" t="s">
        <v>6</v>
      </c>
      <c r="D6" s="17" t="s">
        <v>7</v>
      </c>
      <c r="E6" s="18" t="s">
        <v>8</v>
      </c>
      <c r="F6" s="18" t="s">
        <v>3</v>
      </c>
      <c r="G6" s="18" t="s">
        <v>4</v>
      </c>
      <c r="H6" s="19" t="s">
        <v>9</v>
      </c>
      <c r="I6" s="193" t="s">
        <v>106</v>
      </c>
      <c r="J6" s="20" t="s">
        <v>10</v>
      </c>
      <c r="K6" s="131" t="s">
        <v>11</v>
      </c>
      <c r="L6" s="21"/>
      <c r="M6" s="22" t="s">
        <v>12</v>
      </c>
      <c r="N6" s="18" t="s">
        <v>13</v>
      </c>
      <c r="O6" s="23" t="s">
        <v>12</v>
      </c>
      <c r="P6" s="24" t="s">
        <v>13</v>
      </c>
      <c r="R6"/>
    </row>
    <row r="7" spans="1:18" ht="15.75" thickBot="1">
      <c r="B7" s="25" t="s">
        <v>14</v>
      </c>
      <c r="C7" s="26" t="s">
        <v>15</v>
      </c>
      <c r="D7" s="27"/>
      <c r="E7" s="28"/>
      <c r="F7" s="28"/>
      <c r="G7" s="28"/>
      <c r="H7" s="29"/>
      <c r="I7" s="194"/>
      <c r="J7" s="160">
        <f>SUM(J8:J16)</f>
        <v>4105150.75</v>
      </c>
      <c r="K7" s="161"/>
      <c r="L7" s="30"/>
      <c r="M7" s="60">
        <f>SUM(M8:M16)</f>
        <v>3986045.75</v>
      </c>
      <c r="N7" s="60">
        <f>SUM(N8:N16)</f>
        <v>119105</v>
      </c>
      <c r="O7" s="61"/>
      <c r="P7" s="61"/>
      <c r="R7"/>
    </row>
    <row r="8" spans="1:18">
      <c r="B8" s="135">
        <v>101</v>
      </c>
      <c r="C8" s="136" t="s">
        <v>16</v>
      </c>
      <c r="D8" s="137" t="s">
        <v>17</v>
      </c>
      <c r="E8" s="138">
        <v>0</v>
      </c>
      <c r="F8" s="138">
        <v>0</v>
      </c>
      <c r="G8" s="138"/>
      <c r="H8" s="139">
        <v>0</v>
      </c>
      <c r="I8" s="195"/>
      <c r="J8" s="140">
        <v>0</v>
      </c>
      <c r="K8" s="140"/>
      <c r="L8" s="141"/>
      <c r="M8" s="142">
        <f>+ROUND(H8*J8,2)</f>
        <v>0</v>
      </c>
      <c r="N8" s="140">
        <f t="shared" ref="N8:N16" si="0">J8-M8</f>
        <v>0</v>
      </c>
      <c r="O8" s="140"/>
      <c r="P8" s="140"/>
      <c r="R8"/>
    </row>
    <row r="9" spans="1:18">
      <c r="B9" s="31" t="s">
        <v>94</v>
      </c>
      <c r="C9" s="32" t="s">
        <v>95</v>
      </c>
      <c r="D9" s="32" t="s">
        <v>17</v>
      </c>
      <c r="E9" s="37">
        <v>333</v>
      </c>
      <c r="F9" s="37">
        <v>1080.18</v>
      </c>
      <c r="G9" s="177"/>
      <c r="H9" s="185">
        <v>1</v>
      </c>
      <c r="I9" s="196">
        <v>333</v>
      </c>
      <c r="J9" s="35">
        <f>+ROUND(F9*E9,2)</f>
        <v>359699.94</v>
      </c>
      <c r="K9" s="132"/>
      <c r="L9" s="30"/>
      <c r="M9" s="36">
        <f>+$I9*F9</f>
        <v>359699.94</v>
      </c>
      <c r="N9" s="35">
        <f>J9-M9</f>
        <v>0</v>
      </c>
      <c r="O9" s="132">
        <f>+$I9*G9</f>
        <v>0</v>
      </c>
      <c r="P9" s="132">
        <f>+K9-O9</f>
        <v>0</v>
      </c>
      <c r="R9"/>
    </row>
    <row r="10" spans="1:18">
      <c r="B10" s="31">
        <v>102</v>
      </c>
      <c r="C10" s="32" t="s">
        <v>18</v>
      </c>
      <c r="D10" s="32" t="s">
        <v>17</v>
      </c>
      <c r="E10" s="37">
        <v>2964</v>
      </c>
      <c r="F10" s="37">
        <v>1164.53</v>
      </c>
      <c r="G10" s="177"/>
      <c r="H10" s="185">
        <v>1</v>
      </c>
      <c r="I10" s="196">
        <v>2964</v>
      </c>
      <c r="J10" s="35">
        <f t="shared" ref="J10:J15" si="1">+ROUND(F10*E10,2)</f>
        <v>3451666.92</v>
      </c>
      <c r="K10" s="132"/>
      <c r="L10" s="30"/>
      <c r="M10" s="36">
        <f t="shared" ref="M10:M11" si="2">+$I10*F10</f>
        <v>3451666.92</v>
      </c>
      <c r="N10" s="35">
        <f t="shared" ref="N10:N11" si="3">J10-M10</f>
        <v>0</v>
      </c>
      <c r="O10" s="132">
        <f t="shared" ref="O10:O11" si="4">+$I10*G10</f>
        <v>0</v>
      </c>
      <c r="P10" s="132">
        <f t="shared" ref="P10:P11" si="5">+K10-O10</f>
        <v>0</v>
      </c>
      <c r="R10"/>
    </row>
    <row r="11" spans="1:18">
      <c r="B11" s="31">
        <v>103</v>
      </c>
      <c r="C11" s="32" t="s">
        <v>19</v>
      </c>
      <c r="D11" s="145" t="s">
        <v>7</v>
      </c>
      <c r="E11" s="37">
        <v>1</v>
      </c>
      <c r="F11" s="37">
        <v>174678.89</v>
      </c>
      <c r="G11" s="177"/>
      <c r="H11" s="185">
        <v>1</v>
      </c>
      <c r="I11" s="196">
        <v>1</v>
      </c>
      <c r="J11" s="35">
        <f t="shared" si="1"/>
        <v>174678.89</v>
      </c>
      <c r="K11" s="132"/>
      <c r="L11" s="30"/>
      <c r="M11" s="36">
        <f t="shared" si="2"/>
        <v>174678.89</v>
      </c>
      <c r="N11" s="35">
        <f t="shared" si="3"/>
        <v>0</v>
      </c>
      <c r="O11" s="132">
        <f t="shared" si="4"/>
        <v>0</v>
      </c>
      <c r="P11" s="132">
        <f t="shared" si="5"/>
        <v>0</v>
      </c>
      <c r="R11"/>
    </row>
    <row r="12" spans="1:18">
      <c r="B12" s="135">
        <v>104</v>
      </c>
      <c r="C12" s="136" t="s">
        <v>20</v>
      </c>
      <c r="D12" s="136" t="s">
        <v>21</v>
      </c>
      <c r="E12" s="143">
        <v>0</v>
      </c>
      <c r="F12" s="143">
        <v>0</v>
      </c>
      <c r="G12" s="143"/>
      <c r="H12" s="144">
        <v>0</v>
      </c>
      <c r="I12" s="197"/>
      <c r="J12" s="140">
        <v>0</v>
      </c>
      <c r="K12" s="140"/>
      <c r="L12" s="141"/>
      <c r="M12" s="142">
        <f t="shared" ref="M12:M16" si="6">+ROUND(H12*J12,2)</f>
        <v>0</v>
      </c>
      <c r="N12" s="140">
        <f t="shared" si="0"/>
        <v>0</v>
      </c>
      <c r="O12" s="140"/>
      <c r="P12" s="140"/>
      <c r="R12"/>
    </row>
    <row r="13" spans="1:18">
      <c r="B13" s="31" t="s">
        <v>97</v>
      </c>
      <c r="C13" s="32" t="s">
        <v>98</v>
      </c>
      <c r="D13" s="32" t="s">
        <v>99</v>
      </c>
      <c r="E13" s="37">
        <v>1</v>
      </c>
      <c r="F13" s="37">
        <v>104705</v>
      </c>
      <c r="G13" s="177"/>
      <c r="H13" s="185"/>
      <c r="I13" s="196">
        <v>0</v>
      </c>
      <c r="J13" s="35">
        <f t="shared" si="1"/>
        <v>104705</v>
      </c>
      <c r="K13" s="132"/>
      <c r="L13" s="30"/>
      <c r="M13" s="36">
        <f>+$I13*F13</f>
        <v>0</v>
      </c>
      <c r="N13" s="35">
        <f>J13-M13</f>
        <v>104705</v>
      </c>
      <c r="O13" s="132">
        <f>+$I13*G13</f>
        <v>0</v>
      </c>
      <c r="P13" s="132">
        <f>+K13-O13</f>
        <v>0</v>
      </c>
      <c r="R13"/>
    </row>
    <row r="14" spans="1:18">
      <c r="A14" s="115"/>
      <c r="B14" s="135">
        <v>105</v>
      </c>
      <c r="C14" s="136" t="s">
        <v>22</v>
      </c>
      <c r="D14" s="136" t="s">
        <v>21</v>
      </c>
      <c r="E14" s="143">
        <v>0</v>
      </c>
      <c r="F14" s="143">
        <v>0</v>
      </c>
      <c r="G14" s="143"/>
      <c r="H14" s="144">
        <v>0</v>
      </c>
      <c r="I14" s="197"/>
      <c r="J14" s="140">
        <v>0</v>
      </c>
      <c r="K14" s="140"/>
      <c r="L14" s="141"/>
      <c r="M14" s="142">
        <f t="shared" si="6"/>
        <v>0</v>
      </c>
      <c r="N14" s="140">
        <f t="shared" si="0"/>
        <v>0</v>
      </c>
      <c r="O14" s="140"/>
      <c r="P14" s="140"/>
      <c r="R14"/>
    </row>
    <row r="15" spans="1:18">
      <c r="B15" s="31" t="s">
        <v>100</v>
      </c>
      <c r="C15" s="32" t="s">
        <v>101</v>
      </c>
      <c r="D15" s="32" t="s">
        <v>17</v>
      </c>
      <c r="E15" s="37">
        <v>8</v>
      </c>
      <c r="F15" s="37">
        <v>1800</v>
      </c>
      <c r="G15" s="177"/>
      <c r="H15" s="185"/>
      <c r="I15" s="196">
        <v>0</v>
      </c>
      <c r="J15" s="35">
        <f t="shared" si="1"/>
        <v>14400</v>
      </c>
      <c r="K15" s="132"/>
      <c r="L15" s="30"/>
      <c r="M15" s="36">
        <f>+$I15*F15</f>
        <v>0</v>
      </c>
      <c r="N15" s="35">
        <f>J15-M15</f>
        <v>14400</v>
      </c>
      <c r="O15" s="132">
        <f>+$I15*G15</f>
        <v>0</v>
      </c>
      <c r="P15" s="132">
        <f>+K15-O15</f>
        <v>0</v>
      </c>
      <c r="R15"/>
    </row>
    <row r="16" spans="1:18" ht="15.75" thickBot="1">
      <c r="B16" s="146">
        <v>106</v>
      </c>
      <c r="C16" s="147" t="s">
        <v>23</v>
      </c>
      <c r="D16" s="147" t="s">
        <v>7</v>
      </c>
      <c r="E16" s="148">
        <v>12</v>
      </c>
      <c r="F16" s="148"/>
      <c r="G16" s="148"/>
      <c r="H16" s="149">
        <v>0</v>
      </c>
      <c r="I16" s="198"/>
      <c r="J16" s="151">
        <v>0</v>
      </c>
      <c r="K16" s="151"/>
      <c r="L16" s="141"/>
      <c r="M16" s="142">
        <f t="shared" si="6"/>
        <v>0</v>
      </c>
      <c r="N16" s="151">
        <f t="shared" si="0"/>
        <v>0</v>
      </c>
      <c r="O16" s="151"/>
      <c r="P16" s="151"/>
      <c r="R16"/>
    </row>
    <row r="17" spans="2:18" ht="15.75" thickBot="1">
      <c r="B17" s="44" t="s">
        <v>24</v>
      </c>
      <c r="C17" s="45" t="s">
        <v>25</v>
      </c>
      <c r="D17" s="46"/>
      <c r="E17" s="47"/>
      <c r="F17" s="47"/>
      <c r="G17" s="179"/>
      <c r="H17" s="29"/>
      <c r="I17" s="194"/>
      <c r="J17" s="160">
        <f>SUM(J18:J19)</f>
        <v>58226.5</v>
      </c>
      <c r="K17" s="161"/>
      <c r="L17" s="30"/>
      <c r="M17" s="48">
        <f>SUM(M18:M19)</f>
        <v>58226.5</v>
      </c>
      <c r="N17" s="48">
        <f>SUM(N18:N19)</f>
        <v>0</v>
      </c>
      <c r="O17" s="50"/>
      <c r="P17" s="50"/>
      <c r="R17"/>
    </row>
    <row r="18" spans="2:18">
      <c r="B18" s="31">
        <v>107</v>
      </c>
      <c r="C18" s="32" t="s">
        <v>18</v>
      </c>
      <c r="D18" s="33" t="s">
        <v>17</v>
      </c>
      <c r="E18" s="34">
        <v>50</v>
      </c>
      <c r="F18" s="34">
        <f>+F10</f>
        <v>1164.53</v>
      </c>
      <c r="G18" s="180"/>
      <c r="H18" s="186">
        <v>1</v>
      </c>
      <c r="I18" s="199">
        <v>50</v>
      </c>
      <c r="J18" s="35">
        <f t="shared" ref="J18" si="7">+ROUND(F18*E18,2)</f>
        <v>58226.5</v>
      </c>
      <c r="K18" s="51"/>
      <c r="L18" s="30"/>
      <c r="M18" s="36">
        <f>+ROUND(H18*J18,2)</f>
        <v>58226.5</v>
      </c>
      <c r="N18" s="35">
        <f>J18-M18</f>
        <v>0</v>
      </c>
      <c r="O18" s="132"/>
      <c r="P18" s="132"/>
      <c r="Q18"/>
      <c r="R18"/>
    </row>
    <row r="19" spans="2:18" ht="15.75" thickBot="1">
      <c r="B19" s="146">
        <v>108</v>
      </c>
      <c r="C19" s="147" t="s">
        <v>26</v>
      </c>
      <c r="D19" s="147" t="s">
        <v>27</v>
      </c>
      <c r="E19" s="148">
        <v>0</v>
      </c>
      <c r="F19" s="148"/>
      <c r="G19" s="178"/>
      <c r="H19" s="149">
        <v>0</v>
      </c>
      <c r="I19" s="198"/>
      <c r="J19" s="150">
        <v>0</v>
      </c>
      <c r="K19" s="150"/>
      <c r="L19" s="141"/>
      <c r="M19" s="142">
        <f>+ROUND(H19*J19,2)</f>
        <v>0</v>
      </c>
      <c r="N19" s="151">
        <f>J19-M19</f>
        <v>0</v>
      </c>
      <c r="O19" s="151"/>
      <c r="P19" s="151"/>
      <c r="Q19"/>
      <c r="R19"/>
    </row>
    <row r="20" spans="2:18" ht="15.75" thickBot="1">
      <c r="B20" s="44" t="s">
        <v>28</v>
      </c>
      <c r="C20" s="45" t="s">
        <v>29</v>
      </c>
      <c r="D20" s="46"/>
      <c r="E20" s="47"/>
      <c r="F20" s="47"/>
      <c r="G20" s="179"/>
      <c r="H20" s="29"/>
      <c r="I20" s="194"/>
      <c r="J20" s="160">
        <f>SUM(J21:J28)</f>
        <v>1459800.3900000001</v>
      </c>
      <c r="K20" s="161">
        <f>SUM(K21:K28)</f>
        <v>32481879.529999997</v>
      </c>
      <c r="L20" s="30"/>
      <c r="M20" s="162">
        <f>SUM(M21:M28)</f>
        <v>989713.62799999991</v>
      </c>
      <c r="N20" s="162">
        <f>SUM(N21:N28)</f>
        <v>1634821.2519999999</v>
      </c>
      <c r="O20" s="163">
        <f>SUM(O21:O28)</f>
        <v>22022023.240999997</v>
      </c>
      <c r="P20" s="163">
        <f>SUM(P21:P28)</f>
        <v>36376249.598999992</v>
      </c>
      <c r="Q20"/>
      <c r="R20"/>
    </row>
    <row r="21" spans="2:18">
      <c r="B21" s="116">
        <v>401</v>
      </c>
      <c r="C21" s="117" t="s">
        <v>30</v>
      </c>
      <c r="D21" s="118" t="s">
        <v>31</v>
      </c>
      <c r="E21" s="119"/>
      <c r="F21" s="119"/>
      <c r="G21" s="180"/>
      <c r="H21" s="120">
        <v>0.35</v>
      </c>
      <c r="I21" s="200"/>
      <c r="J21" s="122"/>
      <c r="K21" s="51"/>
      <c r="L21" s="121"/>
      <c r="M21" s="164">
        <v>407657.07</v>
      </c>
      <c r="N21" s="165">
        <v>757077.41999999993</v>
      </c>
      <c r="O21" s="165">
        <v>9070737.6600000001</v>
      </c>
      <c r="P21" s="165">
        <v>16845655.649999999</v>
      </c>
      <c r="Q21"/>
      <c r="R21"/>
    </row>
    <row r="22" spans="2:18">
      <c r="B22" s="31" t="s">
        <v>117</v>
      </c>
      <c r="C22" s="32" t="s">
        <v>118</v>
      </c>
      <c r="D22" s="32" t="s">
        <v>99</v>
      </c>
      <c r="E22" s="52">
        <v>1</v>
      </c>
      <c r="F22" s="52">
        <v>302830.96000000002</v>
      </c>
      <c r="G22" s="177">
        <v>6738262.2599999998</v>
      </c>
      <c r="H22" s="185"/>
      <c r="I22" s="196"/>
      <c r="J22" s="127">
        <f>+ROUND($E22*F22,2)</f>
        <v>302830.96000000002</v>
      </c>
      <c r="K22" s="128">
        <f t="shared" ref="K22" si="8">+ROUND($E22*G22,2)</f>
        <v>6738262.2599999998</v>
      </c>
      <c r="L22" s="129"/>
      <c r="M22" s="127">
        <f t="shared" ref="M22:M28" si="9">+$I22*F22</f>
        <v>0</v>
      </c>
      <c r="N22" s="130">
        <f t="shared" ref="N22:N28" si="10">J22-M22</f>
        <v>302830.96000000002</v>
      </c>
      <c r="O22" s="134">
        <f t="shared" ref="O22:O28" si="11">+$I22*G22</f>
        <v>0</v>
      </c>
      <c r="P22" s="134">
        <f t="shared" ref="P22:P28" si="12">+K22-O22</f>
        <v>6738262.2599999998</v>
      </c>
      <c r="Q22"/>
      <c r="R22"/>
    </row>
    <row r="23" spans="2:18" s="123" customFormat="1" ht="56.25">
      <c r="B23" s="124" t="s">
        <v>119</v>
      </c>
      <c r="C23" s="125" t="s">
        <v>120</v>
      </c>
      <c r="D23" s="125" t="s">
        <v>99</v>
      </c>
      <c r="E23" s="126">
        <v>1</v>
      </c>
      <c r="F23" s="126">
        <v>81531.360000000001</v>
      </c>
      <c r="G23" s="181">
        <v>1814147.52</v>
      </c>
      <c r="H23" s="187">
        <f>+I23/E23</f>
        <v>1</v>
      </c>
      <c r="I23" s="201">
        <v>1</v>
      </c>
      <c r="J23" s="127">
        <f t="shared" ref="J23:J24" si="13">+ROUND($E23*F23,2)</f>
        <v>81531.360000000001</v>
      </c>
      <c r="K23" s="128">
        <f t="shared" ref="K23:K24" si="14">+ROUND($E23*G23,2)</f>
        <v>1814147.52</v>
      </c>
      <c r="L23" s="129"/>
      <c r="M23" s="127">
        <f t="shared" si="9"/>
        <v>81531.360000000001</v>
      </c>
      <c r="N23" s="130">
        <f t="shared" si="10"/>
        <v>0</v>
      </c>
      <c r="O23" s="134">
        <f t="shared" si="11"/>
        <v>1814147.52</v>
      </c>
      <c r="P23" s="134">
        <f t="shared" si="12"/>
        <v>0</v>
      </c>
    </row>
    <row r="24" spans="2:18" s="123" customFormat="1" ht="67.5">
      <c r="B24" s="124" t="s">
        <v>121</v>
      </c>
      <c r="C24" s="125" t="s">
        <v>122</v>
      </c>
      <c r="D24" s="125" t="s">
        <v>123</v>
      </c>
      <c r="E24" s="126">
        <v>12</v>
      </c>
      <c r="F24" s="126">
        <v>65031</v>
      </c>
      <c r="G24" s="181">
        <v>1446998.62</v>
      </c>
      <c r="H24" s="187">
        <f>+I24/E24</f>
        <v>0.33333333333333331</v>
      </c>
      <c r="I24" s="201">
        <v>4</v>
      </c>
      <c r="J24" s="127">
        <f t="shared" si="13"/>
        <v>780372</v>
      </c>
      <c r="K24" s="128">
        <f t="shared" si="14"/>
        <v>17363983.440000001</v>
      </c>
      <c r="L24" s="129"/>
      <c r="M24" s="127">
        <f t="shared" si="9"/>
        <v>260124</v>
      </c>
      <c r="N24" s="130">
        <f t="shared" si="10"/>
        <v>520248</v>
      </c>
      <c r="O24" s="134">
        <f t="shared" si="11"/>
        <v>5787994.4800000004</v>
      </c>
      <c r="P24" s="134">
        <f t="shared" si="12"/>
        <v>11575988.960000001</v>
      </c>
    </row>
    <row r="25" spans="2:18">
      <c r="B25" s="31">
        <v>402</v>
      </c>
      <c r="C25" s="32" t="s">
        <v>32</v>
      </c>
      <c r="D25" s="32" t="s">
        <v>7</v>
      </c>
      <c r="E25" s="52">
        <v>1</v>
      </c>
      <c r="F25" s="52">
        <v>116473.45</v>
      </c>
      <c r="G25" s="177">
        <v>2591639.33</v>
      </c>
      <c r="H25" s="185">
        <v>0.95</v>
      </c>
      <c r="I25" s="196">
        <v>0.95</v>
      </c>
      <c r="J25" s="36">
        <v>116473.45</v>
      </c>
      <c r="K25" s="51">
        <v>2591639.33</v>
      </c>
      <c r="L25" s="21"/>
      <c r="M25" s="36">
        <f t="shared" si="9"/>
        <v>110649.7775</v>
      </c>
      <c r="N25" s="35">
        <f t="shared" si="10"/>
        <v>5823.6725000000006</v>
      </c>
      <c r="O25" s="132">
        <f t="shared" si="11"/>
        <v>2462057.3635</v>
      </c>
      <c r="P25" s="132">
        <f t="shared" si="12"/>
        <v>129581.9665000001</v>
      </c>
      <c r="Q25"/>
      <c r="R25"/>
    </row>
    <row r="26" spans="2:18">
      <c r="B26" s="31">
        <v>403</v>
      </c>
      <c r="C26" s="32" t="s">
        <v>33</v>
      </c>
      <c r="D26" s="32" t="s">
        <v>31</v>
      </c>
      <c r="E26" s="52">
        <v>1</v>
      </c>
      <c r="F26" s="52">
        <v>69884.070000000007</v>
      </c>
      <c r="G26" s="177">
        <v>1554983.6</v>
      </c>
      <c r="H26" s="185">
        <v>0.9</v>
      </c>
      <c r="I26" s="196">
        <v>0.9</v>
      </c>
      <c r="J26" s="36">
        <v>69884.070000000007</v>
      </c>
      <c r="K26" s="51">
        <v>1554983.6</v>
      </c>
      <c r="L26" s="21"/>
      <c r="M26" s="36">
        <f t="shared" si="9"/>
        <v>62895.663000000008</v>
      </c>
      <c r="N26" s="35">
        <f t="shared" si="10"/>
        <v>6988.4069999999992</v>
      </c>
      <c r="O26" s="132">
        <f t="shared" si="11"/>
        <v>1399485.2400000002</v>
      </c>
      <c r="P26" s="132">
        <f t="shared" si="12"/>
        <v>155498.35999999987</v>
      </c>
      <c r="Q26"/>
      <c r="R26"/>
    </row>
    <row r="27" spans="2:18">
      <c r="B27" s="31">
        <v>404</v>
      </c>
      <c r="C27" s="32" t="s">
        <v>34</v>
      </c>
      <c r="D27" s="32" t="s">
        <v>31</v>
      </c>
      <c r="E27" s="37">
        <v>1</v>
      </c>
      <c r="F27" s="37">
        <v>89141.01</v>
      </c>
      <c r="G27" s="177">
        <v>1983467.97</v>
      </c>
      <c r="H27" s="185">
        <v>0.75</v>
      </c>
      <c r="I27" s="196">
        <v>0.75</v>
      </c>
      <c r="J27" s="36">
        <v>89141.01</v>
      </c>
      <c r="K27" s="51">
        <v>1983467.97</v>
      </c>
      <c r="L27" s="21"/>
      <c r="M27" s="36">
        <f t="shared" si="9"/>
        <v>66855.757499999992</v>
      </c>
      <c r="N27" s="35">
        <f t="shared" si="10"/>
        <v>22285.252500000002</v>
      </c>
      <c r="O27" s="132">
        <f t="shared" si="11"/>
        <v>1487600.9775</v>
      </c>
      <c r="P27" s="132">
        <f t="shared" si="12"/>
        <v>495866.99249999993</v>
      </c>
      <c r="Q27"/>
      <c r="R27"/>
    </row>
    <row r="28" spans="2:18" ht="15.75" thickBot="1">
      <c r="B28" s="39">
        <v>405</v>
      </c>
      <c r="C28" s="40" t="s">
        <v>35</v>
      </c>
      <c r="D28" s="40" t="s">
        <v>7</v>
      </c>
      <c r="E28" s="41">
        <v>1</v>
      </c>
      <c r="F28" s="41">
        <v>19567.54</v>
      </c>
      <c r="G28" s="182">
        <v>435395.41</v>
      </c>
      <c r="H28" s="188">
        <v>0</v>
      </c>
      <c r="I28" s="202">
        <v>0</v>
      </c>
      <c r="J28" s="49">
        <v>19567.54</v>
      </c>
      <c r="K28" s="53">
        <v>435395.41</v>
      </c>
      <c r="L28" s="21"/>
      <c r="M28" s="49">
        <f t="shared" si="9"/>
        <v>0</v>
      </c>
      <c r="N28" s="43">
        <f t="shared" si="10"/>
        <v>19567.54</v>
      </c>
      <c r="O28" s="133">
        <f t="shared" si="11"/>
        <v>0</v>
      </c>
      <c r="P28" s="133">
        <f t="shared" si="12"/>
        <v>435395.41</v>
      </c>
      <c r="Q28"/>
      <c r="R28"/>
    </row>
    <row r="29" spans="2:18" ht="15.75" thickBot="1">
      <c r="B29" s="44" t="s">
        <v>36</v>
      </c>
      <c r="C29" s="45" t="s">
        <v>29</v>
      </c>
      <c r="D29" s="27"/>
      <c r="E29" s="54"/>
      <c r="F29" s="54"/>
      <c r="G29" s="179"/>
      <c r="H29" s="29"/>
      <c r="I29" s="194"/>
      <c r="J29" s="171"/>
      <c r="K29" s="161">
        <f>SUM(K30)</f>
        <v>4441595.26</v>
      </c>
      <c r="L29" s="30"/>
      <c r="M29" s="175"/>
      <c r="N29" s="175"/>
      <c r="O29" s="174">
        <f>SUM(O30)</f>
        <v>2220797.63</v>
      </c>
      <c r="P29" s="174">
        <f>SUM(P30)</f>
        <v>2220797.63</v>
      </c>
      <c r="Q29"/>
      <c r="R29"/>
    </row>
    <row r="30" spans="2:18" ht="15.75" thickBot="1">
      <c r="B30" s="39">
        <v>500</v>
      </c>
      <c r="C30" s="40" t="s">
        <v>37</v>
      </c>
      <c r="D30" s="56" t="s">
        <v>7</v>
      </c>
      <c r="E30" s="57">
        <v>1</v>
      </c>
      <c r="F30" s="57"/>
      <c r="G30" s="183"/>
      <c r="H30" s="58">
        <v>0.5</v>
      </c>
      <c r="I30" s="203">
        <v>0.5</v>
      </c>
      <c r="J30" s="173"/>
      <c r="K30" s="174">
        <v>4441595.26</v>
      </c>
      <c r="L30" s="30"/>
      <c r="M30" s="173"/>
      <c r="N30" s="176"/>
      <c r="O30" s="172">
        <f>ROUND(H30*$K30,2)</f>
        <v>2220797.63</v>
      </c>
      <c r="P30" s="172">
        <f>K30-O30</f>
        <v>2220797.63</v>
      </c>
      <c r="Q30"/>
      <c r="R30"/>
    </row>
    <row r="31" spans="2:18" ht="15.75" thickBot="1">
      <c r="B31" s="44" t="s">
        <v>38</v>
      </c>
      <c r="C31" s="45" t="s">
        <v>29</v>
      </c>
      <c r="D31" s="157"/>
      <c r="E31" s="158"/>
      <c r="F31" s="158"/>
      <c r="G31" s="184"/>
      <c r="H31" s="159"/>
      <c r="I31" s="204"/>
      <c r="J31" s="160">
        <f>SUM(J32:J42)</f>
        <v>1197116.52</v>
      </c>
      <c r="K31" s="161">
        <f>SUM(K32:K42)</f>
        <v>2126949</v>
      </c>
      <c r="L31" s="30"/>
      <c r="M31" s="60">
        <f>SUM(M32:M42)</f>
        <v>157108.01499999998</v>
      </c>
      <c r="N31" s="60">
        <f>SUM(N32:N42)</f>
        <v>1040008.505</v>
      </c>
      <c r="O31" s="61">
        <f>SUM(O32:O42)</f>
        <v>248543.65859999997</v>
      </c>
      <c r="P31" s="61">
        <f>SUM(P32:P42)</f>
        <v>1878405.3414</v>
      </c>
      <c r="Q31"/>
      <c r="R31"/>
    </row>
    <row r="32" spans="2:18">
      <c r="B32" s="135">
        <v>201</v>
      </c>
      <c r="C32" s="136" t="s">
        <v>39</v>
      </c>
      <c r="D32" s="136" t="s">
        <v>40</v>
      </c>
      <c r="E32" s="143">
        <v>0</v>
      </c>
      <c r="F32" s="143"/>
      <c r="G32" s="143"/>
      <c r="H32" s="144">
        <v>0</v>
      </c>
      <c r="I32" s="197"/>
      <c r="J32" s="142">
        <v>0</v>
      </c>
      <c r="K32" s="142">
        <v>0</v>
      </c>
      <c r="L32" s="144"/>
      <c r="M32" s="142">
        <f t="shared" ref="M32:M42" si="15">+ROUND(H32*J32,2)</f>
        <v>0</v>
      </c>
      <c r="N32" s="140">
        <f t="shared" ref="N32:N42" si="16">J32-M32</f>
        <v>0</v>
      </c>
      <c r="O32" s="140">
        <f t="shared" ref="O32:O42" si="17">ROUND(H32*$K32,2)</f>
        <v>0</v>
      </c>
      <c r="P32" s="140">
        <f t="shared" ref="P32:P42" si="18">K32-O32</f>
        <v>0</v>
      </c>
      <c r="Q32"/>
      <c r="R32"/>
    </row>
    <row r="33" spans="2:18">
      <c r="B33" s="31" t="s">
        <v>102</v>
      </c>
      <c r="C33" s="32" t="s">
        <v>103</v>
      </c>
      <c r="D33" s="32" t="s">
        <v>40</v>
      </c>
      <c r="E33" s="37">
        <v>642.72</v>
      </c>
      <c r="F33" s="37">
        <v>1222.25</v>
      </c>
      <c r="G33" s="177">
        <v>1933.59</v>
      </c>
      <c r="H33" s="187">
        <f t="shared" ref="H33:H34" si="19">+I33/E33</f>
        <v>0.19999377645008712</v>
      </c>
      <c r="I33" s="196">
        <v>128.54</v>
      </c>
      <c r="J33" s="36">
        <f>+ROUND($E33*F33,2)</f>
        <v>785564.52</v>
      </c>
      <c r="K33" s="51">
        <f t="shared" ref="K33:K34" si="20">+ROUND($E33*G33,2)</f>
        <v>1242756.96</v>
      </c>
      <c r="L33" s="21"/>
      <c r="M33" s="36">
        <f t="shared" ref="M33:M34" si="21">+$I33*F33</f>
        <v>157108.01499999998</v>
      </c>
      <c r="N33" s="35">
        <f t="shared" si="16"/>
        <v>628456.505</v>
      </c>
      <c r="O33" s="132">
        <f t="shared" ref="O33:O34" si="22">+$I33*G33</f>
        <v>248543.65859999997</v>
      </c>
      <c r="P33" s="132">
        <f t="shared" ref="P33:P34" si="23">+K33-O33</f>
        <v>994213.3014</v>
      </c>
      <c r="Q33"/>
      <c r="R33"/>
    </row>
    <row r="34" spans="2:18">
      <c r="B34" s="31" t="s">
        <v>104</v>
      </c>
      <c r="C34" s="32" t="s">
        <v>105</v>
      </c>
      <c r="D34" s="32" t="s">
        <v>40</v>
      </c>
      <c r="E34" s="37">
        <v>457.28</v>
      </c>
      <c r="F34" s="37">
        <v>900</v>
      </c>
      <c r="G34" s="177">
        <v>1933.59</v>
      </c>
      <c r="H34" s="187">
        <f t="shared" si="19"/>
        <v>0</v>
      </c>
      <c r="I34" s="196">
        <v>0</v>
      </c>
      <c r="J34" s="36">
        <f>+ROUND($E34*F34,2)</f>
        <v>411552</v>
      </c>
      <c r="K34" s="51">
        <f t="shared" si="20"/>
        <v>884192.04</v>
      </c>
      <c r="L34" s="21"/>
      <c r="M34" s="36">
        <f t="shared" si="21"/>
        <v>0</v>
      </c>
      <c r="N34" s="35">
        <f t="shared" si="16"/>
        <v>411552</v>
      </c>
      <c r="O34" s="132">
        <f t="shared" si="22"/>
        <v>0</v>
      </c>
      <c r="P34" s="132">
        <f t="shared" si="23"/>
        <v>884192.04</v>
      </c>
      <c r="Q34"/>
      <c r="R34"/>
    </row>
    <row r="35" spans="2:18">
      <c r="B35" s="135">
        <v>202</v>
      </c>
      <c r="C35" s="136" t="s">
        <v>41</v>
      </c>
      <c r="D35" s="136" t="s">
        <v>40</v>
      </c>
      <c r="E35" s="143">
        <v>0</v>
      </c>
      <c r="F35" s="143"/>
      <c r="G35" s="143"/>
      <c r="H35" s="144">
        <v>0</v>
      </c>
      <c r="I35" s="197"/>
      <c r="J35" s="142">
        <v>0</v>
      </c>
      <c r="K35" s="142">
        <v>0</v>
      </c>
      <c r="L35" s="144"/>
      <c r="M35" s="142">
        <f t="shared" si="15"/>
        <v>0</v>
      </c>
      <c r="N35" s="140">
        <f t="shared" si="16"/>
        <v>0</v>
      </c>
      <c r="O35" s="140">
        <f t="shared" si="17"/>
        <v>0</v>
      </c>
      <c r="P35" s="140">
        <f t="shared" si="18"/>
        <v>0</v>
      </c>
      <c r="Q35"/>
      <c r="R35"/>
    </row>
    <row r="36" spans="2:18">
      <c r="B36" s="135">
        <v>203</v>
      </c>
      <c r="C36" s="136" t="s">
        <v>42</v>
      </c>
      <c r="D36" s="136" t="s">
        <v>7</v>
      </c>
      <c r="E36" s="143">
        <v>0</v>
      </c>
      <c r="F36" s="143"/>
      <c r="G36" s="143"/>
      <c r="H36" s="144">
        <v>0</v>
      </c>
      <c r="I36" s="197"/>
      <c r="J36" s="142">
        <v>0</v>
      </c>
      <c r="K36" s="142">
        <v>0</v>
      </c>
      <c r="L36" s="144"/>
      <c r="M36" s="142">
        <f t="shared" si="15"/>
        <v>0</v>
      </c>
      <c r="N36" s="140">
        <f t="shared" si="16"/>
        <v>0</v>
      </c>
      <c r="O36" s="140">
        <f t="shared" si="17"/>
        <v>0</v>
      </c>
      <c r="P36" s="140">
        <f t="shared" si="18"/>
        <v>0</v>
      </c>
      <c r="Q36"/>
      <c r="R36"/>
    </row>
    <row r="37" spans="2:18">
      <c r="B37" s="135">
        <v>204</v>
      </c>
      <c r="C37" s="136" t="s">
        <v>43</v>
      </c>
      <c r="D37" s="136" t="s">
        <v>7</v>
      </c>
      <c r="E37" s="143">
        <v>0</v>
      </c>
      <c r="F37" s="143"/>
      <c r="G37" s="143"/>
      <c r="H37" s="144">
        <v>0</v>
      </c>
      <c r="I37" s="197"/>
      <c r="J37" s="142">
        <v>0</v>
      </c>
      <c r="K37" s="142">
        <v>0</v>
      </c>
      <c r="L37" s="144"/>
      <c r="M37" s="142">
        <f t="shared" si="15"/>
        <v>0</v>
      </c>
      <c r="N37" s="140">
        <f t="shared" si="16"/>
        <v>0</v>
      </c>
      <c r="O37" s="140">
        <f t="shared" si="17"/>
        <v>0</v>
      </c>
      <c r="P37" s="140">
        <f t="shared" si="18"/>
        <v>0</v>
      </c>
      <c r="Q37"/>
      <c r="R37"/>
    </row>
    <row r="38" spans="2:18">
      <c r="B38" s="135">
        <v>205</v>
      </c>
      <c r="C38" s="136" t="s">
        <v>44</v>
      </c>
      <c r="D38" s="136" t="s">
        <v>7</v>
      </c>
      <c r="E38" s="143">
        <v>0</v>
      </c>
      <c r="F38" s="143"/>
      <c r="G38" s="143"/>
      <c r="H38" s="144">
        <v>0</v>
      </c>
      <c r="I38" s="197"/>
      <c r="J38" s="142">
        <v>0</v>
      </c>
      <c r="K38" s="142">
        <v>0</v>
      </c>
      <c r="L38" s="144"/>
      <c r="M38" s="142">
        <f t="shared" si="15"/>
        <v>0</v>
      </c>
      <c r="N38" s="140">
        <f t="shared" si="16"/>
        <v>0</v>
      </c>
      <c r="O38" s="140">
        <f t="shared" si="17"/>
        <v>0</v>
      </c>
      <c r="P38" s="140">
        <f t="shared" si="18"/>
        <v>0</v>
      </c>
      <c r="Q38"/>
      <c r="R38"/>
    </row>
    <row r="39" spans="2:18">
      <c r="B39" s="135">
        <v>206</v>
      </c>
      <c r="C39" s="136" t="s">
        <v>45</v>
      </c>
      <c r="D39" s="136" t="s">
        <v>7</v>
      </c>
      <c r="E39" s="143">
        <v>0</v>
      </c>
      <c r="F39" s="143"/>
      <c r="G39" s="143"/>
      <c r="H39" s="144">
        <v>0</v>
      </c>
      <c r="I39" s="197"/>
      <c r="J39" s="142">
        <v>0</v>
      </c>
      <c r="K39" s="142">
        <v>0</v>
      </c>
      <c r="L39" s="144"/>
      <c r="M39" s="142">
        <f t="shared" si="15"/>
        <v>0</v>
      </c>
      <c r="N39" s="140">
        <f t="shared" si="16"/>
        <v>0</v>
      </c>
      <c r="O39" s="140">
        <f t="shared" si="17"/>
        <v>0</v>
      </c>
      <c r="P39" s="140">
        <f t="shared" si="18"/>
        <v>0</v>
      </c>
      <c r="Q39"/>
      <c r="R39"/>
    </row>
    <row r="40" spans="2:18">
      <c r="B40" s="135">
        <v>207</v>
      </c>
      <c r="C40" s="136" t="s">
        <v>46</v>
      </c>
      <c r="D40" s="136" t="s">
        <v>7</v>
      </c>
      <c r="E40" s="143">
        <v>0</v>
      </c>
      <c r="F40" s="143"/>
      <c r="G40" s="143"/>
      <c r="H40" s="144">
        <v>0</v>
      </c>
      <c r="I40" s="197"/>
      <c r="J40" s="142">
        <v>0</v>
      </c>
      <c r="K40" s="142">
        <v>0</v>
      </c>
      <c r="L40" s="144"/>
      <c r="M40" s="142">
        <f t="shared" si="15"/>
        <v>0</v>
      </c>
      <c r="N40" s="140">
        <f t="shared" si="16"/>
        <v>0</v>
      </c>
      <c r="O40" s="140">
        <f t="shared" si="17"/>
        <v>0</v>
      </c>
      <c r="P40" s="140">
        <f t="shared" si="18"/>
        <v>0</v>
      </c>
      <c r="Q40"/>
      <c r="R40"/>
    </row>
    <row r="41" spans="2:18">
      <c r="B41" s="135">
        <v>208</v>
      </c>
      <c r="C41" s="136" t="s">
        <v>47</v>
      </c>
      <c r="D41" s="136" t="s">
        <v>7</v>
      </c>
      <c r="E41" s="143">
        <v>0</v>
      </c>
      <c r="F41" s="143"/>
      <c r="G41" s="143"/>
      <c r="H41" s="144">
        <v>0</v>
      </c>
      <c r="I41" s="197"/>
      <c r="J41" s="142">
        <v>0</v>
      </c>
      <c r="K41" s="142">
        <v>0</v>
      </c>
      <c r="L41" s="144"/>
      <c r="M41" s="142">
        <f t="shared" si="15"/>
        <v>0</v>
      </c>
      <c r="N41" s="140">
        <f t="shared" si="16"/>
        <v>0</v>
      </c>
      <c r="O41" s="140">
        <f t="shared" si="17"/>
        <v>0</v>
      </c>
      <c r="P41" s="140">
        <f t="shared" si="18"/>
        <v>0</v>
      </c>
      <c r="Q41"/>
      <c r="R41"/>
    </row>
    <row r="42" spans="2:18" ht="15.75" thickBot="1">
      <c r="B42" s="146">
        <v>209</v>
      </c>
      <c r="C42" s="147" t="s">
        <v>48</v>
      </c>
      <c r="D42" s="147" t="s">
        <v>7</v>
      </c>
      <c r="E42" s="148">
        <v>0</v>
      </c>
      <c r="F42" s="148"/>
      <c r="G42" s="148"/>
      <c r="H42" s="149">
        <v>0</v>
      </c>
      <c r="I42" s="198"/>
      <c r="J42" s="150">
        <v>0</v>
      </c>
      <c r="K42" s="150">
        <v>0</v>
      </c>
      <c r="L42" s="144"/>
      <c r="M42" s="142">
        <f t="shared" si="15"/>
        <v>0</v>
      </c>
      <c r="N42" s="151">
        <f t="shared" si="16"/>
        <v>0</v>
      </c>
      <c r="O42" s="151">
        <f t="shared" si="17"/>
        <v>0</v>
      </c>
      <c r="P42" s="151">
        <f t="shared" si="18"/>
        <v>0</v>
      </c>
      <c r="Q42"/>
      <c r="R42"/>
    </row>
    <row r="43" spans="2:18" ht="15.75" thickBot="1">
      <c r="B43" s="44" t="s">
        <v>49</v>
      </c>
      <c r="C43" s="45" t="s">
        <v>29</v>
      </c>
      <c r="D43" s="157"/>
      <c r="E43" s="158"/>
      <c r="F43" s="158"/>
      <c r="G43" s="184"/>
      <c r="H43" s="159"/>
      <c r="I43" s="204"/>
      <c r="J43" s="160">
        <f t="shared" ref="J43:P43" si="24">SUM(J44:J56)</f>
        <v>683572.48</v>
      </c>
      <c r="K43" s="161">
        <f t="shared" si="24"/>
        <v>49951056.149999999</v>
      </c>
      <c r="L43" s="30"/>
      <c r="M43" s="60">
        <f>SUM(M44:M56)</f>
        <v>0</v>
      </c>
      <c r="N43" s="60">
        <f t="shared" si="24"/>
        <v>683572.48</v>
      </c>
      <c r="O43" s="61">
        <f t="shared" si="24"/>
        <v>0</v>
      </c>
      <c r="P43" s="61">
        <f t="shared" si="24"/>
        <v>49951056.149999999</v>
      </c>
      <c r="Q43"/>
      <c r="R43"/>
    </row>
    <row r="44" spans="2:18">
      <c r="B44" s="135">
        <v>406</v>
      </c>
      <c r="C44" s="136" t="s">
        <v>50</v>
      </c>
      <c r="D44" s="136" t="s">
        <v>17</v>
      </c>
      <c r="E44" s="143">
        <v>0</v>
      </c>
      <c r="F44" s="143"/>
      <c r="G44" s="143"/>
      <c r="H44" s="144">
        <v>0</v>
      </c>
      <c r="I44" s="197"/>
      <c r="J44" s="142">
        <v>0</v>
      </c>
      <c r="K44" s="142">
        <v>0</v>
      </c>
      <c r="L44" s="152"/>
      <c r="M44" s="142">
        <f t="shared" ref="M44:M56" si="25">+ROUND(H44*J44,2)</f>
        <v>0</v>
      </c>
      <c r="N44" s="140">
        <f t="shared" ref="N44:N56" si="26">J44-M44</f>
        <v>0</v>
      </c>
      <c r="O44" s="140">
        <f t="shared" ref="O44:O56" si="27">ROUND(H44*$K44,2)</f>
        <v>0</v>
      </c>
      <c r="P44" s="140">
        <f t="shared" ref="P44:P56" si="28">K44-O44</f>
        <v>0</v>
      </c>
      <c r="Q44"/>
      <c r="R44"/>
    </row>
    <row r="45" spans="2:18">
      <c r="B45" s="31" t="s">
        <v>107</v>
      </c>
      <c r="C45" s="32" t="s">
        <v>108</v>
      </c>
      <c r="D45" s="32" t="s">
        <v>17</v>
      </c>
      <c r="E45" s="37">
        <v>155</v>
      </c>
      <c r="F45" s="37"/>
      <c r="G45" s="177">
        <v>78952</v>
      </c>
      <c r="H45" s="185"/>
      <c r="I45" s="196">
        <v>0</v>
      </c>
      <c r="J45" s="36">
        <f>+ROUND($E45*F45,2)</f>
        <v>0</v>
      </c>
      <c r="K45" s="51">
        <f t="shared" ref="K45" si="29">+ROUND($E45*G45,2)</f>
        <v>12237560</v>
      </c>
      <c r="L45" s="14"/>
      <c r="M45" s="36">
        <f t="shared" ref="M45" si="30">+$I45*F45</f>
        <v>0</v>
      </c>
      <c r="N45" s="35">
        <f t="shared" si="26"/>
        <v>0</v>
      </c>
      <c r="O45" s="132">
        <f t="shared" ref="O45" si="31">+$I45*G45</f>
        <v>0</v>
      </c>
      <c r="P45" s="132">
        <f t="shared" ref="P45" si="32">+K45-O45</f>
        <v>12237560</v>
      </c>
      <c r="Q45"/>
      <c r="R45"/>
    </row>
    <row r="46" spans="2:18">
      <c r="B46" s="135">
        <v>407</v>
      </c>
      <c r="C46" s="136" t="s">
        <v>51</v>
      </c>
      <c r="D46" s="136" t="s">
        <v>17</v>
      </c>
      <c r="E46" s="143">
        <v>0</v>
      </c>
      <c r="F46" s="143"/>
      <c r="G46" s="143"/>
      <c r="H46" s="144">
        <v>0</v>
      </c>
      <c r="I46" s="197"/>
      <c r="J46" s="142">
        <v>0</v>
      </c>
      <c r="K46" s="142">
        <v>0</v>
      </c>
      <c r="L46" s="152"/>
      <c r="M46" s="142">
        <f t="shared" si="25"/>
        <v>0</v>
      </c>
      <c r="N46" s="140">
        <f t="shared" si="26"/>
        <v>0</v>
      </c>
      <c r="O46" s="140">
        <f t="shared" si="27"/>
        <v>0</v>
      </c>
      <c r="P46" s="140">
        <f t="shared" si="28"/>
        <v>0</v>
      </c>
      <c r="Q46"/>
      <c r="R46"/>
    </row>
    <row r="47" spans="2:18">
      <c r="B47" s="31" t="s">
        <v>109</v>
      </c>
      <c r="C47" s="32" t="s">
        <v>110</v>
      </c>
      <c r="D47" s="32" t="s">
        <v>17</v>
      </c>
      <c r="E47" s="37">
        <v>178</v>
      </c>
      <c r="F47" s="37"/>
      <c r="G47" s="177">
        <v>55558</v>
      </c>
      <c r="H47" s="185"/>
      <c r="I47" s="196">
        <v>0</v>
      </c>
      <c r="J47" s="36">
        <f>+ROUND($E47*F47,2)</f>
        <v>0</v>
      </c>
      <c r="K47" s="51">
        <f t="shared" ref="K47" si="33">+ROUND($E47*G47,2)</f>
        <v>9889324</v>
      </c>
      <c r="L47" s="14"/>
      <c r="M47" s="36">
        <f t="shared" ref="M47" si="34">+$I47*F47</f>
        <v>0</v>
      </c>
      <c r="N47" s="35">
        <f t="shared" si="26"/>
        <v>0</v>
      </c>
      <c r="O47" s="132">
        <f t="shared" ref="O47" si="35">+$I47*G47</f>
        <v>0</v>
      </c>
      <c r="P47" s="132">
        <f t="shared" ref="P47" si="36">+K47-O47</f>
        <v>9889324</v>
      </c>
      <c r="Q47"/>
      <c r="R47"/>
    </row>
    <row r="48" spans="2:18">
      <c r="B48" s="135">
        <v>408</v>
      </c>
      <c r="C48" s="136" t="s">
        <v>52</v>
      </c>
      <c r="D48" s="136" t="s">
        <v>17</v>
      </c>
      <c r="E48" s="143">
        <v>0</v>
      </c>
      <c r="F48" s="143"/>
      <c r="G48" s="143"/>
      <c r="H48" s="144">
        <v>0</v>
      </c>
      <c r="I48" s="197"/>
      <c r="J48" s="142">
        <v>0</v>
      </c>
      <c r="K48" s="142">
        <v>0</v>
      </c>
      <c r="L48" s="152"/>
      <c r="M48" s="142">
        <f t="shared" si="25"/>
        <v>0</v>
      </c>
      <c r="N48" s="140">
        <f t="shared" si="26"/>
        <v>0</v>
      </c>
      <c r="O48" s="140">
        <f t="shared" si="27"/>
        <v>0</v>
      </c>
      <c r="P48" s="140">
        <f t="shared" si="28"/>
        <v>0</v>
      </c>
      <c r="Q48"/>
      <c r="R48"/>
    </row>
    <row r="49" spans="2:18">
      <c r="B49" s="135">
        <v>409</v>
      </c>
      <c r="C49" s="136" t="s">
        <v>53</v>
      </c>
      <c r="D49" s="136" t="s">
        <v>40</v>
      </c>
      <c r="E49" s="143">
        <v>0</v>
      </c>
      <c r="F49" s="143"/>
      <c r="G49" s="143"/>
      <c r="H49" s="144">
        <v>0</v>
      </c>
      <c r="I49" s="197"/>
      <c r="J49" s="142">
        <v>0</v>
      </c>
      <c r="K49" s="142">
        <v>0</v>
      </c>
      <c r="L49" s="152"/>
      <c r="M49" s="142">
        <f t="shared" si="25"/>
        <v>0</v>
      </c>
      <c r="N49" s="140">
        <f t="shared" si="26"/>
        <v>0</v>
      </c>
      <c r="O49" s="140">
        <f t="shared" si="27"/>
        <v>0</v>
      </c>
      <c r="P49" s="140">
        <f t="shared" si="28"/>
        <v>0</v>
      </c>
      <c r="Q49"/>
      <c r="R49"/>
    </row>
    <row r="50" spans="2:18">
      <c r="B50" s="31" t="s">
        <v>134</v>
      </c>
      <c r="C50" s="32" t="s">
        <v>135</v>
      </c>
      <c r="D50" s="32" t="s">
        <v>17</v>
      </c>
      <c r="E50" s="37">
        <v>567</v>
      </c>
      <c r="F50" s="37">
        <v>1169.44</v>
      </c>
      <c r="G50" s="177">
        <v>23234.45</v>
      </c>
      <c r="H50" s="185"/>
      <c r="I50" s="196">
        <v>0</v>
      </c>
      <c r="J50" s="36">
        <f>+ROUND($E50*F50,2)</f>
        <v>663072.48</v>
      </c>
      <c r="K50" s="51">
        <f t="shared" ref="K50" si="37">+ROUND($E50*G50,2)</f>
        <v>13173933.15</v>
      </c>
      <c r="L50" s="14"/>
      <c r="M50" s="36">
        <f t="shared" ref="M50" si="38">+$I50*F50</f>
        <v>0</v>
      </c>
      <c r="N50" s="35">
        <f t="shared" si="26"/>
        <v>663072.48</v>
      </c>
      <c r="O50" s="132">
        <f t="shared" ref="O50" si="39">+$I50*G50</f>
        <v>0</v>
      </c>
      <c r="P50" s="132">
        <f t="shared" ref="P50" si="40">+K50-O50</f>
        <v>13173933.15</v>
      </c>
      <c r="Q50"/>
      <c r="R50"/>
    </row>
    <row r="51" spans="2:18">
      <c r="B51" s="135">
        <v>410</v>
      </c>
      <c r="C51" s="136" t="s">
        <v>54</v>
      </c>
      <c r="D51" s="136" t="s">
        <v>40</v>
      </c>
      <c r="E51" s="143">
        <v>0</v>
      </c>
      <c r="F51" s="143"/>
      <c r="G51" s="143"/>
      <c r="H51" s="144">
        <v>0</v>
      </c>
      <c r="I51" s="197"/>
      <c r="J51" s="142">
        <v>0</v>
      </c>
      <c r="K51" s="142">
        <v>0</v>
      </c>
      <c r="L51" s="152"/>
      <c r="M51" s="142">
        <f t="shared" si="25"/>
        <v>0</v>
      </c>
      <c r="N51" s="140">
        <f t="shared" si="26"/>
        <v>0</v>
      </c>
      <c r="O51" s="140">
        <f t="shared" si="27"/>
        <v>0</v>
      </c>
      <c r="P51" s="140">
        <f t="shared" si="28"/>
        <v>0</v>
      </c>
      <c r="Q51"/>
      <c r="R51"/>
    </row>
    <row r="52" spans="2:18">
      <c r="B52" s="135">
        <v>411</v>
      </c>
      <c r="C52" s="136" t="s">
        <v>55</v>
      </c>
      <c r="D52" s="136" t="s">
        <v>40</v>
      </c>
      <c r="E52" s="143">
        <v>0</v>
      </c>
      <c r="F52" s="143"/>
      <c r="G52" s="143"/>
      <c r="H52" s="144">
        <v>0</v>
      </c>
      <c r="I52" s="197"/>
      <c r="J52" s="142">
        <v>0</v>
      </c>
      <c r="K52" s="142">
        <v>0</v>
      </c>
      <c r="L52" s="152"/>
      <c r="M52" s="142">
        <f t="shared" si="25"/>
        <v>0</v>
      </c>
      <c r="N52" s="140">
        <f t="shared" si="26"/>
        <v>0</v>
      </c>
      <c r="O52" s="140">
        <f t="shared" si="27"/>
        <v>0</v>
      </c>
      <c r="P52" s="140">
        <f t="shared" si="28"/>
        <v>0</v>
      </c>
      <c r="Q52"/>
      <c r="R52"/>
    </row>
    <row r="53" spans="2:18">
      <c r="B53" s="135">
        <v>412</v>
      </c>
      <c r="C53" s="136" t="s">
        <v>56</v>
      </c>
      <c r="D53" s="136" t="s">
        <v>7</v>
      </c>
      <c r="E53" s="143">
        <v>0</v>
      </c>
      <c r="F53" s="143"/>
      <c r="G53" s="143"/>
      <c r="H53" s="144">
        <v>0</v>
      </c>
      <c r="I53" s="197"/>
      <c r="J53" s="142">
        <v>0</v>
      </c>
      <c r="K53" s="142">
        <v>0</v>
      </c>
      <c r="L53" s="152"/>
      <c r="M53" s="142">
        <f t="shared" si="25"/>
        <v>0</v>
      </c>
      <c r="N53" s="140">
        <f t="shared" si="26"/>
        <v>0</v>
      </c>
      <c r="O53" s="140">
        <f t="shared" si="27"/>
        <v>0</v>
      </c>
      <c r="P53" s="140">
        <f t="shared" si="28"/>
        <v>0</v>
      </c>
      <c r="Q53"/>
      <c r="R53"/>
    </row>
    <row r="54" spans="2:18">
      <c r="B54" s="31" t="s">
        <v>113</v>
      </c>
      <c r="C54" s="32" t="s">
        <v>114</v>
      </c>
      <c r="D54" s="32" t="s">
        <v>99</v>
      </c>
      <c r="E54" s="37">
        <v>1</v>
      </c>
      <c r="F54" s="37">
        <v>20500</v>
      </c>
      <c r="G54" s="177"/>
      <c r="H54" s="185"/>
      <c r="I54" s="196">
        <v>0</v>
      </c>
      <c r="J54" s="36">
        <f t="shared" ref="J54:J55" si="41">+ROUND($E54*F54,2)</f>
        <v>20500</v>
      </c>
      <c r="K54" s="51">
        <f t="shared" ref="K54:K55" si="42">+ROUND($E54*G54,2)</f>
        <v>0</v>
      </c>
      <c r="L54" s="21"/>
      <c r="M54" s="36">
        <f t="shared" ref="M54:M55" si="43">+$I54*F54</f>
        <v>0</v>
      </c>
      <c r="N54" s="35">
        <f t="shared" si="26"/>
        <v>20500</v>
      </c>
      <c r="O54" s="132">
        <f t="shared" ref="O54:O55" si="44">+$I54*G54</f>
        <v>0</v>
      </c>
      <c r="P54" s="132">
        <f t="shared" ref="P54:P55" si="45">+K54-O54</f>
        <v>0</v>
      </c>
      <c r="Q54"/>
      <c r="R54"/>
    </row>
    <row r="55" spans="2:18">
      <c r="B55" s="31" t="s">
        <v>115</v>
      </c>
      <c r="C55" s="32" t="s">
        <v>116</v>
      </c>
      <c r="D55" s="32" t="s">
        <v>99</v>
      </c>
      <c r="E55" s="37">
        <v>1</v>
      </c>
      <c r="F55" s="37"/>
      <c r="G55" s="177">
        <v>14650239</v>
      </c>
      <c r="H55" s="185"/>
      <c r="I55" s="196">
        <v>0</v>
      </c>
      <c r="J55" s="36">
        <f t="shared" si="41"/>
        <v>0</v>
      </c>
      <c r="K55" s="51">
        <f t="shared" si="42"/>
        <v>14650239</v>
      </c>
      <c r="L55" s="21"/>
      <c r="M55" s="36">
        <f t="shared" si="43"/>
        <v>0</v>
      </c>
      <c r="N55" s="35">
        <f t="shared" si="26"/>
        <v>0</v>
      </c>
      <c r="O55" s="132">
        <f t="shared" si="44"/>
        <v>0</v>
      </c>
      <c r="P55" s="132">
        <f t="shared" si="45"/>
        <v>14650239</v>
      </c>
      <c r="Q55"/>
      <c r="R55"/>
    </row>
    <row r="56" spans="2:18" ht="15.75" thickBot="1">
      <c r="B56" s="146">
        <v>413</v>
      </c>
      <c r="C56" s="147" t="s">
        <v>57</v>
      </c>
      <c r="D56" s="147" t="s">
        <v>7</v>
      </c>
      <c r="E56" s="148">
        <v>0</v>
      </c>
      <c r="F56" s="148"/>
      <c r="G56" s="148"/>
      <c r="H56" s="149">
        <v>0</v>
      </c>
      <c r="I56" s="198"/>
      <c r="J56" s="150">
        <v>0</v>
      </c>
      <c r="K56" s="150">
        <v>0</v>
      </c>
      <c r="L56" s="152"/>
      <c r="M56" s="142">
        <f t="shared" si="25"/>
        <v>0</v>
      </c>
      <c r="N56" s="151">
        <f t="shared" si="26"/>
        <v>0</v>
      </c>
      <c r="O56" s="151">
        <f t="shared" si="27"/>
        <v>0</v>
      </c>
      <c r="P56" s="151">
        <f t="shared" si="28"/>
        <v>0</v>
      </c>
      <c r="Q56"/>
      <c r="R56"/>
    </row>
    <row r="57" spans="2:18" ht="15.75" thickBot="1">
      <c r="B57" s="44" t="s">
        <v>58</v>
      </c>
      <c r="C57" s="45" t="s">
        <v>29</v>
      </c>
      <c r="D57" s="157"/>
      <c r="E57" s="158"/>
      <c r="F57" s="158"/>
      <c r="G57" s="184"/>
      <c r="H57" s="159"/>
      <c r="I57" s="204"/>
      <c r="J57" s="160">
        <f>SUM(J58:J86)</f>
        <v>6981519.1699999999</v>
      </c>
      <c r="K57" s="160">
        <f>SUM(K58:K86)</f>
        <v>63707323.820000008</v>
      </c>
      <c r="L57" s="30"/>
      <c r="M57" s="60">
        <f>SUM(M58:M86)</f>
        <v>0</v>
      </c>
      <c r="N57" s="60">
        <f>SUM(N58:N86)</f>
        <v>7678364.7999999998</v>
      </c>
      <c r="O57" s="61"/>
      <c r="P57" s="61"/>
      <c r="Q57"/>
      <c r="R57"/>
    </row>
    <row r="58" spans="2:18">
      <c r="B58" s="135">
        <v>414</v>
      </c>
      <c r="C58" s="136" t="s">
        <v>59</v>
      </c>
      <c r="D58" s="136" t="s">
        <v>17</v>
      </c>
      <c r="E58" s="143">
        <v>0</v>
      </c>
      <c r="F58" s="143"/>
      <c r="G58" s="143"/>
      <c r="H58" s="144">
        <v>0</v>
      </c>
      <c r="I58" s="197"/>
      <c r="J58" s="142">
        <v>0</v>
      </c>
      <c r="K58" s="142"/>
      <c r="L58" s="141"/>
      <c r="M58" s="142">
        <f t="shared" ref="M58:M79" si="46">+ROUND(H58*J58,2)</f>
        <v>0</v>
      </c>
      <c r="N58" s="140">
        <f t="shared" ref="N58:N79" si="47">J58-M58</f>
        <v>0</v>
      </c>
      <c r="O58" s="140"/>
      <c r="P58" s="140"/>
      <c r="Q58"/>
      <c r="R58"/>
    </row>
    <row r="59" spans="2:18">
      <c r="B59" s="31" t="s">
        <v>124</v>
      </c>
      <c r="C59" s="32" t="s">
        <v>125</v>
      </c>
      <c r="D59" s="32" t="s">
        <v>27</v>
      </c>
      <c r="E59" s="37">
        <v>12</v>
      </c>
      <c r="F59" s="37">
        <v>23438.21</v>
      </c>
      <c r="G59" s="177"/>
      <c r="H59" s="185"/>
      <c r="I59" s="196">
        <v>0</v>
      </c>
      <c r="J59" s="36">
        <f>+ROUND($E59*F59,2)</f>
        <v>281258.52</v>
      </c>
      <c r="K59" s="51">
        <f t="shared" ref="K59" si="48">+ROUND($E59*G59,2)</f>
        <v>0</v>
      </c>
      <c r="L59" s="14"/>
      <c r="M59" s="36">
        <f t="shared" ref="M59:M62" si="49">+$I59*F59</f>
        <v>0</v>
      </c>
      <c r="N59" s="35">
        <f t="shared" si="47"/>
        <v>281258.52</v>
      </c>
      <c r="O59" s="132">
        <f t="shared" ref="O59:O62" si="50">+$I59*G59</f>
        <v>0</v>
      </c>
      <c r="P59" s="132">
        <f t="shared" ref="P59:P62" si="51">+K59-O59</f>
        <v>0</v>
      </c>
      <c r="Q59"/>
      <c r="R59"/>
    </row>
    <row r="60" spans="2:18">
      <c r="B60" s="31" t="s">
        <v>126</v>
      </c>
      <c r="C60" s="32" t="s">
        <v>127</v>
      </c>
      <c r="D60" s="32" t="s">
        <v>17</v>
      </c>
      <c r="E60" s="37">
        <v>3108</v>
      </c>
      <c r="F60" s="37">
        <v>177.05</v>
      </c>
      <c r="G60" s="177"/>
      <c r="H60" s="185"/>
      <c r="I60" s="196">
        <v>0</v>
      </c>
      <c r="J60" s="36">
        <f t="shared" ref="J60:J62" si="52">+ROUND($E60*F60,2)</f>
        <v>550271.4</v>
      </c>
      <c r="K60" s="51">
        <f t="shared" ref="K60:K62" si="53">+ROUND($E60*G60,2)</f>
        <v>0</v>
      </c>
      <c r="L60" s="14"/>
      <c r="M60" s="36">
        <f t="shared" si="49"/>
        <v>0</v>
      </c>
      <c r="N60" s="35">
        <f t="shared" si="47"/>
        <v>550271.4</v>
      </c>
      <c r="O60" s="132">
        <f t="shared" si="50"/>
        <v>0</v>
      </c>
      <c r="P60" s="132">
        <f t="shared" si="51"/>
        <v>0</v>
      </c>
      <c r="Q60"/>
      <c r="R60"/>
    </row>
    <row r="61" spans="2:18">
      <c r="B61" s="31" t="s">
        <v>128</v>
      </c>
      <c r="C61" s="32" t="s">
        <v>129</v>
      </c>
      <c r="D61" s="32" t="s">
        <v>17</v>
      </c>
      <c r="E61" s="37">
        <v>3108</v>
      </c>
      <c r="F61" s="37">
        <v>295.08999999999997</v>
      </c>
      <c r="G61" s="177"/>
      <c r="H61" s="185"/>
      <c r="I61" s="196">
        <v>0</v>
      </c>
      <c r="J61" s="36">
        <f t="shared" si="52"/>
        <v>917139.72</v>
      </c>
      <c r="K61" s="51">
        <f t="shared" si="53"/>
        <v>0</v>
      </c>
      <c r="L61" s="14"/>
      <c r="M61" s="36">
        <f t="shared" si="49"/>
        <v>0</v>
      </c>
      <c r="N61" s="35">
        <f t="shared" si="47"/>
        <v>917139.72</v>
      </c>
      <c r="O61" s="132">
        <f t="shared" si="50"/>
        <v>0</v>
      </c>
      <c r="P61" s="132">
        <f t="shared" si="51"/>
        <v>0</v>
      </c>
      <c r="Q61"/>
      <c r="R61"/>
    </row>
    <row r="62" spans="2:18">
      <c r="B62" s="31" t="s">
        <v>130</v>
      </c>
      <c r="C62" s="32" t="s">
        <v>131</v>
      </c>
      <c r="D62" s="32" t="s">
        <v>17</v>
      </c>
      <c r="E62" s="37">
        <v>3108</v>
      </c>
      <c r="F62" s="37">
        <v>421</v>
      </c>
      <c r="G62" s="177"/>
      <c r="H62" s="185"/>
      <c r="I62" s="196">
        <v>0</v>
      </c>
      <c r="J62" s="36">
        <f t="shared" si="52"/>
        <v>1308468</v>
      </c>
      <c r="K62" s="51">
        <f t="shared" si="53"/>
        <v>0</v>
      </c>
      <c r="L62" s="14"/>
      <c r="M62" s="36">
        <f t="shared" si="49"/>
        <v>0</v>
      </c>
      <c r="N62" s="35">
        <f t="shared" si="47"/>
        <v>1308468</v>
      </c>
      <c r="O62" s="132">
        <f t="shared" si="50"/>
        <v>0</v>
      </c>
      <c r="P62" s="132">
        <f t="shared" si="51"/>
        <v>0</v>
      </c>
      <c r="Q62"/>
      <c r="R62"/>
    </row>
    <row r="63" spans="2:18">
      <c r="B63" s="135">
        <v>415</v>
      </c>
      <c r="C63" s="136" t="s">
        <v>60</v>
      </c>
      <c r="D63" s="136" t="s">
        <v>7</v>
      </c>
      <c r="E63" s="143">
        <v>1</v>
      </c>
      <c r="F63" s="143"/>
      <c r="G63" s="143"/>
      <c r="H63" s="144">
        <v>0</v>
      </c>
      <c r="I63" s="197"/>
      <c r="J63" s="142">
        <v>0</v>
      </c>
      <c r="K63" s="142"/>
      <c r="L63" s="141"/>
      <c r="M63" s="142">
        <f t="shared" si="46"/>
        <v>0</v>
      </c>
      <c r="N63" s="140">
        <f t="shared" si="47"/>
        <v>0</v>
      </c>
      <c r="O63" s="140"/>
      <c r="P63" s="140"/>
      <c r="Q63"/>
      <c r="R63"/>
    </row>
    <row r="64" spans="2:18">
      <c r="B64" s="135">
        <v>416</v>
      </c>
      <c r="C64" s="136" t="s">
        <v>61</v>
      </c>
      <c r="D64" s="136" t="s">
        <v>40</v>
      </c>
      <c r="E64" s="143">
        <v>0</v>
      </c>
      <c r="F64" s="143"/>
      <c r="G64" s="143"/>
      <c r="H64" s="144">
        <v>0</v>
      </c>
      <c r="I64" s="197"/>
      <c r="J64" s="142">
        <v>0</v>
      </c>
      <c r="K64" s="142"/>
      <c r="L64" s="141"/>
      <c r="M64" s="142">
        <f t="shared" si="46"/>
        <v>0</v>
      </c>
      <c r="N64" s="140">
        <f t="shared" si="47"/>
        <v>0</v>
      </c>
      <c r="O64" s="140"/>
      <c r="P64" s="140"/>
      <c r="Q64"/>
      <c r="R64"/>
    </row>
    <row r="65" spans="2:18">
      <c r="B65" s="31" t="s">
        <v>132</v>
      </c>
      <c r="C65" s="32" t="s">
        <v>133</v>
      </c>
      <c r="D65" s="32" t="s">
        <v>40</v>
      </c>
      <c r="E65" s="37">
        <v>457.28</v>
      </c>
      <c r="F65" s="37">
        <v>1400</v>
      </c>
      <c r="G65" s="177">
        <v>4000</v>
      </c>
      <c r="H65" s="185"/>
      <c r="I65" s="196">
        <v>0</v>
      </c>
      <c r="J65" s="36">
        <f t="shared" ref="J65" si="54">+ROUND($E65*F65,2)</f>
        <v>640192</v>
      </c>
      <c r="K65" s="51">
        <f t="shared" ref="K65" si="55">+ROUND($E65*G65,2)</f>
        <v>1829120</v>
      </c>
      <c r="L65" s="14"/>
      <c r="M65" s="36">
        <f t="shared" ref="M65" si="56">+$I65*F65</f>
        <v>0</v>
      </c>
      <c r="N65" s="35">
        <f t="shared" si="47"/>
        <v>640192</v>
      </c>
      <c r="O65" s="132">
        <f t="shared" ref="O65" si="57">+$I65*G65</f>
        <v>0</v>
      </c>
      <c r="P65" s="132">
        <f t="shared" ref="P65" si="58">+K65-O65</f>
        <v>1829120</v>
      </c>
      <c r="Q65"/>
      <c r="R65"/>
    </row>
    <row r="66" spans="2:18">
      <c r="B66" s="135">
        <v>417</v>
      </c>
      <c r="C66" s="136" t="s">
        <v>62</v>
      </c>
      <c r="D66" s="136" t="s">
        <v>17</v>
      </c>
      <c r="E66" s="143">
        <v>0</v>
      </c>
      <c r="F66" s="143"/>
      <c r="G66" s="143"/>
      <c r="H66" s="144">
        <v>0</v>
      </c>
      <c r="I66" s="197"/>
      <c r="J66" s="142">
        <v>0</v>
      </c>
      <c r="K66" s="142"/>
      <c r="L66" s="141"/>
      <c r="M66" s="142">
        <f t="shared" si="46"/>
        <v>0</v>
      </c>
      <c r="N66" s="140">
        <f t="shared" si="47"/>
        <v>0</v>
      </c>
      <c r="O66" s="140"/>
      <c r="P66" s="140"/>
      <c r="Q66"/>
      <c r="R66"/>
    </row>
    <row r="67" spans="2:18">
      <c r="B67" s="135">
        <v>418</v>
      </c>
      <c r="C67" s="136" t="s">
        <v>63</v>
      </c>
      <c r="D67" s="136" t="s">
        <v>7</v>
      </c>
      <c r="E67" s="143">
        <v>0</v>
      </c>
      <c r="F67" s="143"/>
      <c r="G67" s="143"/>
      <c r="H67" s="144">
        <v>0</v>
      </c>
      <c r="I67" s="197"/>
      <c r="J67" s="142">
        <v>0</v>
      </c>
      <c r="K67" s="142"/>
      <c r="L67" s="141"/>
      <c r="M67" s="142">
        <f t="shared" si="46"/>
        <v>0</v>
      </c>
      <c r="N67" s="140">
        <f t="shared" si="47"/>
        <v>0</v>
      </c>
      <c r="O67" s="140"/>
      <c r="P67" s="140"/>
      <c r="Q67"/>
      <c r="R67"/>
    </row>
    <row r="68" spans="2:18">
      <c r="B68" s="31" t="s">
        <v>136</v>
      </c>
      <c r="C68" s="32" t="s">
        <v>137</v>
      </c>
      <c r="D68" s="32" t="s">
        <v>17</v>
      </c>
      <c r="E68" s="37">
        <v>700</v>
      </c>
      <c r="F68" s="37">
        <v>802.16</v>
      </c>
      <c r="G68" s="177">
        <v>15937.33</v>
      </c>
      <c r="H68" s="185"/>
      <c r="I68" s="196"/>
      <c r="J68" s="36">
        <f t="shared" ref="J68:J73" si="59">+ROUND($E68*F68,2)</f>
        <v>561512</v>
      </c>
      <c r="K68" s="51">
        <f t="shared" ref="K68:K73" si="60">+ROUND($E68*G68,2)</f>
        <v>11156131</v>
      </c>
      <c r="L68" s="14"/>
      <c r="M68" s="36">
        <f t="shared" ref="M68:M73" si="61">+$I68*F68</f>
        <v>0</v>
      </c>
      <c r="N68" s="35">
        <f t="shared" si="47"/>
        <v>561512</v>
      </c>
      <c r="O68" s="132">
        <f t="shared" ref="O68:O73" si="62">+$I68*G68</f>
        <v>0</v>
      </c>
      <c r="P68" s="132">
        <f t="shared" ref="P68:P73" si="63">+K68-O68</f>
        <v>11156131</v>
      </c>
      <c r="Q68"/>
      <c r="R68"/>
    </row>
    <row r="69" spans="2:18">
      <c r="B69" s="31" t="s">
        <v>138</v>
      </c>
      <c r="C69" s="32" t="s">
        <v>139</v>
      </c>
      <c r="D69" s="32" t="s">
        <v>17</v>
      </c>
      <c r="E69" s="37">
        <v>500</v>
      </c>
      <c r="F69" s="37">
        <v>976.6</v>
      </c>
      <c r="G69" s="177">
        <v>19403.099999999999</v>
      </c>
      <c r="H69" s="185"/>
      <c r="I69" s="196"/>
      <c r="J69" s="36">
        <f t="shared" si="59"/>
        <v>488300</v>
      </c>
      <c r="K69" s="51">
        <f t="shared" si="60"/>
        <v>9701550</v>
      </c>
      <c r="L69" s="14"/>
      <c r="M69" s="36">
        <f t="shared" si="61"/>
        <v>0</v>
      </c>
      <c r="N69" s="35">
        <f t="shared" si="47"/>
        <v>488300</v>
      </c>
      <c r="O69" s="132">
        <f t="shared" si="62"/>
        <v>0</v>
      </c>
      <c r="P69" s="132">
        <f t="shared" si="63"/>
        <v>9701550</v>
      </c>
      <c r="Q69"/>
      <c r="R69"/>
    </row>
    <row r="70" spans="2:18">
      <c r="B70" s="31" t="s">
        <v>140</v>
      </c>
      <c r="C70" s="32" t="s">
        <v>141</v>
      </c>
      <c r="D70" s="32" t="s">
        <v>17</v>
      </c>
      <c r="E70" s="37">
        <v>400</v>
      </c>
      <c r="F70" s="37">
        <v>1062.8800000000001</v>
      </c>
      <c r="G70" s="177">
        <v>21117.41</v>
      </c>
      <c r="H70" s="185"/>
      <c r="I70" s="196"/>
      <c r="J70" s="36">
        <f t="shared" si="59"/>
        <v>425152</v>
      </c>
      <c r="K70" s="51">
        <f t="shared" si="60"/>
        <v>8446964</v>
      </c>
      <c r="L70" s="14"/>
      <c r="M70" s="36">
        <f t="shared" si="61"/>
        <v>0</v>
      </c>
      <c r="N70" s="35">
        <f t="shared" si="47"/>
        <v>425152</v>
      </c>
      <c r="O70" s="132">
        <f t="shared" si="62"/>
        <v>0</v>
      </c>
      <c r="P70" s="132">
        <f t="shared" si="63"/>
        <v>8446964</v>
      </c>
      <c r="Q70"/>
      <c r="R70"/>
    </row>
    <row r="71" spans="2:18">
      <c r="B71" s="31" t="s">
        <v>142</v>
      </c>
      <c r="C71" s="32" t="s">
        <v>143</v>
      </c>
      <c r="D71" s="32" t="s">
        <v>17</v>
      </c>
      <c r="E71" s="37">
        <v>400</v>
      </c>
      <c r="F71" s="37">
        <v>1150.8800000000001</v>
      </c>
      <c r="G71" s="177">
        <v>22865.599999999999</v>
      </c>
      <c r="H71" s="185"/>
      <c r="I71" s="196"/>
      <c r="J71" s="36">
        <f t="shared" si="59"/>
        <v>460352</v>
      </c>
      <c r="K71" s="51">
        <f t="shared" si="60"/>
        <v>9146240</v>
      </c>
      <c r="L71" s="14"/>
      <c r="M71" s="36">
        <f t="shared" si="61"/>
        <v>0</v>
      </c>
      <c r="N71" s="35">
        <f t="shared" si="47"/>
        <v>460352</v>
      </c>
      <c r="O71" s="132">
        <f t="shared" si="62"/>
        <v>0</v>
      </c>
      <c r="P71" s="132">
        <f t="shared" si="63"/>
        <v>9146240</v>
      </c>
      <c r="Q71"/>
      <c r="R71"/>
    </row>
    <row r="72" spans="2:18">
      <c r="B72" s="31" t="s">
        <v>144</v>
      </c>
      <c r="C72" s="32" t="s">
        <v>145</v>
      </c>
      <c r="D72" s="32" t="s">
        <v>17</v>
      </c>
      <c r="E72" s="37">
        <v>253</v>
      </c>
      <c r="F72" s="37">
        <v>1308.17</v>
      </c>
      <c r="G72" s="177">
        <v>25990.66</v>
      </c>
      <c r="H72" s="185"/>
      <c r="I72" s="196"/>
      <c r="J72" s="36">
        <f t="shared" si="59"/>
        <v>330967.01</v>
      </c>
      <c r="K72" s="51">
        <f t="shared" si="60"/>
        <v>6575636.9800000004</v>
      </c>
      <c r="L72" s="14"/>
      <c r="M72" s="36">
        <f t="shared" si="61"/>
        <v>0</v>
      </c>
      <c r="N72" s="35">
        <f t="shared" si="47"/>
        <v>330967.01</v>
      </c>
      <c r="O72" s="132">
        <f t="shared" si="62"/>
        <v>0</v>
      </c>
      <c r="P72" s="132">
        <f t="shared" si="63"/>
        <v>6575636.9800000004</v>
      </c>
      <c r="Q72"/>
      <c r="R72"/>
    </row>
    <row r="73" spans="2:18">
      <c r="B73" s="31" t="s">
        <v>146</v>
      </c>
      <c r="C73" s="32" t="s">
        <v>147</v>
      </c>
      <c r="D73" s="32" t="s">
        <v>17</v>
      </c>
      <c r="E73" s="37">
        <v>288</v>
      </c>
      <c r="F73" s="37">
        <v>1549.79</v>
      </c>
      <c r="G73" s="177">
        <v>28770.68</v>
      </c>
      <c r="H73" s="185"/>
      <c r="I73" s="196"/>
      <c r="J73" s="36">
        <f t="shared" si="59"/>
        <v>446339.52</v>
      </c>
      <c r="K73" s="51">
        <f t="shared" si="60"/>
        <v>8285955.8399999999</v>
      </c>
      <c r="L73" s="14"/>
      <c r="M73" s="36">
        <f t="shared" si="61"/>
        <v>0</v>
      </c>
      <c r="N73" s="35">
        <f t="shared" si="47"/>
        <v>446339.52</v>
      </c>
      <c r="O73" s="132">
        <f t="shared" si="62"/>
        <v>0</v>
      </c>
      <c r="P73" s="132">
        <f t="shared" si="63"/>
        <v>8285955.8399999999</v>
      </c>
      <c r="Q73"/>
      <c r="R73"/>
    </row>
    <row r="74" spans="2:18">
      <c r="B74" s="135">
        <v>419</v>
      </c>
      <c r="C74" s="136" t="s">
        <v>64</v>
      </c>
      <c r="D74" s="136" t="s">
        <v>7</v>
      </c>
      <c r="E74" s="143">
        <v>0</v>
      </c>
      <c r="F74" s="143"/>
      <c r="G74" s="143"/>
      <c r="H74" s="144">
        <v>0</v>
      </c>
      <c r="I74" s="197"/>
      <c r="J74" s="142">
        <v>0</v>
      </c>
      <c r="K74" s="142"/>
      <c r="L74" s="141"/>
      <c r="M74" s="142">
        <f t="shared" si="46"/>
        <v>0</v>
      </c>
      <c r="N74" s="140">
        <f t="shared" si="47"/>
        <v>0</v>
      </c>
      <c r="O74" s="140"/>
      <c r="P74" s="140"/>
      <c r="Q74"/>
      <c r="R74"/>
    </row>
    <row r="75" spans="2:18">
      <c r="B75" s="135">
        <v>420</v>
      </c>
      <c r="C75" s="136" t="s">
        <v>65</v>
      </c>
      <c r="D75" s="136" t="s">
        <v>7</v>
      </c>
      <c r="E75" s="143">
        <v>0</v>
      </c>
      <c r="F75" s="143"/>
      <c r="G75" s="143"/>
      <c r="H75" s="144">
        <v>0</v>
      </c>
      <c r="I75" s="197"/>
      <c r="J75" s="142">
        <v>0</v>
      </c>
      <c r="K75" s="142"/>
      <c r="L75" s="141"/>
      <c r="M75" s="142">
        <f t="shared" si="46"/>
        <v>0</v>
      </c>
      <c r="N75" s="140">
        <f t="shared" si="47"/>
        <v>0</v>
      </c>
      <c r="O75" s="140"/>
      <c r="P75" s="140"/>
      <c r="Q75"/>
      <c r="R75"/>
    </row>
    <row r="76" spans="2:18">
      <c r="B76" s="135">
        <v>421</v>
      </c>
      <c r="C76" s="136" t="s">
        <v>66</v>
      </c>
      <c r="D76" s="136" t="s">
        <v>7</v>
      </c>
      <c r="E76" s="143">
        <v>0</v>
      </c>
      <c r="F76" s="143"/>
      <c r="G76" s="143"/>
      <c r="H76" s="144">
        <v>0</v>
      </c>
      <c r="I76" s="197"/>
      <c r="J76" s="142">
        <v>0</v>
      </c>
      <c r="K76" s="142"/>
      <c r="L76" s="141"/>
      <c r="M76" s="142">
        <f t="shared" si="46"/>
        <v>0</v>
      </c>
      <c r="N76" s="140">
        <f t="shared" si="47"/>
        <v>0</v>
      </c>
      <c r="O76" s="140"/>
      <c r="P76" s="140"/>
      <c r="Q76"/>
      <c r="R76"/>
    </row>
    <row r="77" spans="2:18">
      <c r="B77" s="135">
        <v>422</v>
      </c>
      <c r="C77" s="136" t="s">
        <v>67</v>
      </c>
      <c r="D77" s="136" t="s">
        <v>7</v>
      </c>
      <c r="E77" s="143">
        <v>0</v>
      </c>
      <c r="F77" s="143"/>
      <c r="G77" s="143"/>
      <c r="H77" s="144">
        <v>0</v>
      </c>
      <c r="I77" s="197"/>
      <c r="J77" s="142">
        <v>0</v>
      </c>
      <c r="K77" s="142"/>
      <c r="L77" s="141"/>
      <c r="M77" s="142">
        <f t="shared" si="46"/>
        <v>0</v>
      </c>
      <c r="N77" s="140">
        <f t="shared" si="47"/>
        <v>0</v>
      </c>
      <c r="O77" s="140"/>
      <c r="P77" s="140"/>
      <c r="Q77"/>
      <c r="R77"/>
    </row>
    <row r="78" spans="2:18">
      <c r="B78" s="135">
        <v>423</v>
      </c>
      <c r="C78" s="136" t="s">
        <v>68</v>
      </c>
      <c r="D78" s="136" t="s">
        <v>7</v>
      </c>
      <c r="E78" s="143">
        <v>0</v>
      </c>
      <c r="F78" s="143"/>
      <c r="G78" s="143"/>
      <c r="H78" s="144">
        <v>0</v>
      </c>
      <c r="I78" s="197"/>
      <c r="J78" s="142">
        <v>0</v>
      </c>
      <c r="K78" s="142"/>
      <c r="L78" s="141"/>
      <c r="M78" s="142">
        <f t="shared" si="46"/>
        <v>0</v>
      </c>
      <c r="N78" s="140">
        <f t="shared" si="47"/>
        <v>0</v>
      </c>
      <c r="O78" s="140"/>
      <c r="P78" s="140"/>
      <c r="Q78"/>
      <c r="R78"/>
    </row>
    <row r="79" spans="2:18">
      <c r="B79" s="135">
        <v>424</v>
      </c>
      <c r="C79" s="136" t="s">
        <v>69</v>
      </c>
      <c r="D79" s="136" t="s">
        <v>7</v>
      </c>
      <c r="E79" s="143">
        <v>0</v>
      </c>
      <c r="F79" s="143"/>
      <c r="G79" s="143"/>
      <c r="H79" s="144">
        <v>0</v>
      </c>
      <c r="I79" s="197"/>
      <c r="J79" s="142">
        <v>0</v>
      </c>
      <c r="K79" s="142"/>
      <c r="L79" s="141"/>
      <c r="M79" s="142">
        <f t="shared" si="46"/>
        <v>0</v>
      </c>
      <c r="N79" s="140">
        <f t="shared" si="47"/>
        <v>0</v>
      </c>
      <c r="O79" s="140"/>
      <c r="P79" s="140"/>
      <c r="Q79"/>
      <c r="R79"/>
    </row>
    <row r="80" spans="2:18">
      <c r="B80" s="135">
        <v>425</v>
      </c>
      <c r="C80" s="136" t="s">
        <v>70</v>
      </c>
      <c r="D80" s="136" t="s">
        <v>40</v>
      </c>
      <c r="E80" s="143">
        <v>0</v>
      </c>
      <c r="F80" s="143"/>
      <c r="G80" s="143"/>
      <c r="H80" s="144">
        <v>0</v>
      </c>
      <c r="I80" s="197"/>
      <c r="J80" s="142">
        <v>0</v>
      </c>
      <c r="K80" s="142"/>
      <c r="L80" s="141"/>
      <c r="M80" s="142">
        <v>0</v>
      </c>
      <c r="N80" s="140">
        <v>696845.63</v>
      </c>
      <c r="O80" s="140"/>
      <c r="P80" s="140"/>
      <c r="Q80"/>
      <c r="R80"/>
    </row>
    <row r="81" spans="2:18">
      <c r="B81" s="31" t="s">
        <v>148</v>
      </c>
      <c r="C81" s="32" t="s">
        <v>149</v>
      </c>
      <c r="D81" s="32" t="s">
        <v>99</v>
      </c>
      <c r="E81" s="37">
        <v>1</v>
      </c>
      <c r="F81" s="37">
        <v>299260</v>
      </c>
      <c r="G81" s="177">
        <v>4270990</v>
      </c>
      <c r="H81" s="185"/>
      <c r="I81" s="196"/>
      <c r="J81" s="36">
        <f t="shared" ref="J81:J82" si="64">+ROUND($E81*F81,2)</f>
        <v>299260</v>
      </c>
      <c r="K81" s="51">
        <f t="shared" ref="K81:K82" si="65">+ROUND($E81*G81,2)</f>
        <v>4270990</v>
      </c>
      <c r="L81" s="21"/>
      <c r="M81" s="36">
        <f t="shared" ref="M81:M83" si="66">+$I81*F81</f>
        <v>0</v>
      </c>
      <c r="N81" s="35">
        <f t="shared" ref="N81:N83" si="67">J81-M81</f>
        <v>299260</v>
      </c>
      <c r="O81" s="132">
        <f t="shared" ref="O81:O83" si="68">+$I81*G81</f>
        <v>0</v>
      </c>
      <c r="P81" s="132">
        <f t="shared" ref="P81:P83" si="69">+K81-O81</f>
        <v>4270990</v>
      </c>
      <c r="Q81"/>
      <c r="R81"/>
    </row>
    <row r="82" spans="2:18">
      <c r="B82" s="31" t="s">
        <v>150</v>
      </c>
      <c r="C82" s="32" t="s">
        <v>151</v>
      </c>
      <c r="D82" s="32" t="s">
        <v>99</v>
      </c>
      <c r="E82" s="37">
        <v>1</v>
      </c>
      <c r="F82" s="37">
        <v>272307</v>
      </c>
      <c r="G82" s="177">
        <v>3172736</v>
      </c>
      <c r="H82" s="185"/>
      <c r="I82" s="196"/>
      <c r="J82" s="36">
        <f t="shared" si="64"/>
        <v>272307</v>
      </c>
      <c r="K82" s="51">
        <f t="shared" si="65"/>
        <v>3172736</v>
      </c>
      <c r="L82" s="21"/>
      <c r="M82" s="36">
        <f t="shared" si="66"/>
        <v>0</v>
      </c>
      <c r="N82" s="35">
        <f t="shared" si="67"/>
        <v>272307</v>
      </c>
      <c r="O82" s="132">
        <f t="shared" si="68"/>
        <v>0</v>
      </c>
      <c r="P82" s="132">
        <f t="shared" si="69"/>
        <v>3172736</v>
      </c>
      <c r="Q82"/>
      <c r="R82"/>
    </row>
    <row r="83" spans="2:18">
      <c r="B83" s="31" t="s">
        <v>111</v>
      </c>
      <c r="C83" s="32" t="s">
        <v>112</v>
      </c>
      <c r="D83" s="32" t="s">
        <v>99</v>
      </c>
      <c r="E83" s="37">
        <v>1</v>
      </c>
      <c r="F83" s="37"/>
      <c r="G83" s="177">
        <v>1122000</v>
      </c>
      <c r="H83" s="185"/>
      <c r="I83" s="196"/>
      <c r="J83" s="36">
        <f>+ROUND($E83*F83,2)</f>
        <v>0</v>
      </c>
      <c r="K83" s="51">
        <f t="shared" ref="K83" si="70">+ROUND($E83*G83,2)</f>
        <v>1122000</v>
      </c>
      <c r="L83" s="21"/>
      <c r="M83" s="36">
        <f t="shared" si="66"/>
        <v>0</v>
      </c>
      <c r="N83" s="35">
        <f t="shared" si="67"/>
        <v>0</v>
      </c>
      <c r="O83" s="132">
        <f t="shared" si="68"/>
        <v>0</v>
      </c>
      <c r="P83" s="132">
        <f t="shared" si="69"/>
        <v>1122000</v>
      </c>
      <c r="Q83"/>
      <c r="R83"/>
    </row>
    <row r="84" spans="2:18">
      <c r="B84" s="31"/>
      <c r="C84" s="32"/>
      <c r="D84" s="32"/>
      <c r="E84" s="37"/>
      <c r="F84" s="37"/>
      <c r="G84" s="177"/>
      <c r="H84" s="38"/>
      <c r="I84" s="205"/>
      <c r="J84" s="36"/>
      <c r="K84" s="51"/>
      <c r="L84" s="30"/>
      <c r="M84" s="36"/>
      <c r="N84" s="35"/>
      <c r="O84" s="132"/>
      <c r="P84" s="132"/>
      <c r="Q84"/>
      <c r="R84"/>
    </row>
    <row r="85" spans="2:18">
      <c r="B85" s="31"/>
      <c r="C85" s="32"/>
      <c r="D85" s="32"/>
      <c r="E85" s="37"/>
      <c r="F85" s="37"/>
      <c r="G85" s="177"/>
      <c r="H85" s="38"/>
      <c r="I85" s="205"/>
      <c r="J85" s="36"/>
      <c r="K85" s="51"/>
      <c r="L85" s="30"/>
      <c r="M85" s="36"/>
      <c r="N85" s="35"/>
      <c r="O85" s="132"/>
      <c r="P85" s="132"/>
      <c r="Q85"/>
      <c r="R85"/>
    </row>
    <row r="86" spans="2:18" ht="15.75" thickBot="1">
      <c r="B86" s="39"/>
      <c r="C86" s="40"/>
      <c r="D86" s="40"/>
      <c r="E86" s="41"/>
      <c r="F86" s="41"/>
      <c r="G86" s="182"/>
      <c r="H86" s="42"/>
      <c r="I86" s="206"/>
      <c r="J86" s="49"/>
      <c r="K86" s="53"/>
      <c r="L86" s="30"/>
      <c r="M86" s="49"/>
      <c r="N86" s="43"/>
      <c r="O86" s="133"/>
      <c r="P86" s="133"/>
      <c r="Q86"/>
      <c r="R86"/>
    </row>
    <row r="87" spans="2:18" ht="15.75" thickBot="1">
      <c r="B87" s="44" t="s">
        <v>71</v>
      </c>
      <c r="C87" s="45" t="s">
        <v>72</v>
      </c>
      <c r="D87" s="27"/>
      <c r="E87" s="54"/>
      <c r="F87" s="54"/>
      <c r="G87" s="179"/>
      <c r="H87" s="29"/>
      <c r="I87" s="194"/>
      <c r="J87" s="55"/>
      <c r="K87" s="50">
        <f>SUM(K88:K89)</f>
        <v>0</v>
      </c>
      <c r="L87" s="30"/>
      <c r="M87" s="28"/>
      <c r="N87" s="28"/>
      <c r="O87" s="50">
        <f>SUM(O88:O89)</f>
        <v>0</v>
      </c>
      <c r="P87" s="50">
        <f>SUM(P88:P89)</f>
        <v>0</v>
      </c>
      <c r="Q87"/>
      <c r="R87"/>
    </row>
    <row r="88" spans="2:18">
      <c r="B88" s="153">
        <v>601</v>
      </c>
      <c r="C88" s="136" t="s">
        <v>73</v>
      </c>
      <c r="D88" s="137" t="s">
        <v>7</v>
      </c>
      <c r="E88" s="138">
        <v>0</v>
      </c>
      <c r="F88" s="138"/>
      <c r="G88" s="138"/>
      <c r="H88" s="139">
        <v>0</v>
      </c>
      <c r="I88" s="195"/>
      <c r="J88" s="154"/>
      <c r="K88" s="142">
        <v>0</v>
      </c>
      <c r="L88" s="141"/>
      <c r="M88" s="154"/>
      <c r="N88" s="155"/>
      <c r="O88" s="142">
        <f>ROUND(H88*$K88,2)</f>
        <v>0</v>
      </c>
      <c r="P88" s="142">
        <f>K88-O88</f>
        <v>0</v>
      </c>
      <c r="Q88"/>
      <c r="R88"/>
    </row>
    <row r="89" spans="2:18" ht="15.75" thickBot="1">
      <c r="B89" s="156">
        <v>602</v>
      </c>
      <c r="C89" s="147" t="s">
        <v>74</v>
      </c>
      <c r="D89" s="147" t="s">
        <v>7</v>
      </c>
      <c r="E89" s="148">
        <v>0</v>
      </c>
      <c r="F89" s="148"/>
      <c r="G89" s="148"/>
      <c r="H89" s="149">
        <v>0</v>
      </c>
      <c r="I89" s="198"/>
      <c r="J89" s="154"/>
      <c r="K89" s="150">
        <v>0</v>
      </c>
      <c r="L89" s="141"/>
      <c r="M89" s="154"/>
      <c r="N89" s="155"/>
      <c r="O89" s="142">
        <f>ROUND(H89*$K89,2)</f>
        <v>0</v>
      </c>
      <c r="P89" s="150">
        <f>K89-O89</f>
        <v>0</v>
      </c>
      <c r="Q89"/>
      <c r="R89"/>
    </row>
    <row r="90" spans="2:18" ht="15.75" thickBot="1">
      <c r="B90" s="46"/>
      <c r="C90" s="46"/>
      <c r="D90" s="27"/>
      <c r="E90" s="54"/>
      <c r="F90" s="54"/>
      <c r="G90" s="179"/>
      <c r="H90" s="29"/>
      <c r="I90" s="194"/>
      <c r="J90" s="55"/>
      <c r="K90" s="50">
        <f>SUM(K91)</f>
        <v>0</v>
      </c>
      <c r="L90" s="30"/>
      <c r="M90" s="28"/>
      <c r="N90" s="28"/>
      <c r="O90" s="50">
        <f>SUM(O91)</f>
        <v>0</v>
      </c>
      <c r="P90" s="50">
        <f>SUM(P91)</f>
        <v>0</v>
      </c>
      <c r="Q90"/>
      <c r="R90"/>
    </row>
    <row r="91" spans="2:18" ht="15.75" thickBot="1">
      <c r="B91" s="166">
        <v>700</v>
      </c>
      <c r="C91" s="167" t="s">
        <v>75</v>
      </c>
      <c r="D91" s="168" t="s">
        <v>31</v>
      </c>
      <c r="E91" s="169">
        <v>0</v>
      </c>
      <c r="F91" s="169"/>
      <c r="G91" s="169"/>
      <c r="H91" s="170">
        <v>0</v>
      </c>
      <c r="I91" s="207"/>
      <c r="J91" s="154"/>
      <c r="K91" s="150"/>
      <c r="L91" s="141"/>
      <c r="M91" s="154"/>
      <c r="N91" s="155"/>
      <c r="O91" s="150">
        <f>ROUND(H91*$K91,2)</f>
        <v>0</v>
      </c>
      <c r="P91" s="150">
        <f>K91-O91</f>
        <v>0</v>
      </c>
      <c r="Q91"/>
      <c r="R91"/>
    </row>
    <row r="92" spans="2:18" ht="15.75" thickBot="1">
      <c r="B92" s="59"/>
      <c r="C92" s="59"/>
      <c r="D92" s="27"/>
      <c r="E92" s="28"/>
      <c r="F92" s="28"/>
      <c r="G92" s="28"/>
      <c r="H92" s="29"/>
      <c r="I92" s="208"/>
      <c r="J92" s="55"/>
      <c r="K92" s="28"/>
      <c r="L92" s="30"/>
      <c r="M92" s="28"/>
      <c r="N92" s="28"/>
      <c r="O92" s="28"/>
      <c r="P92" s="28"/>
      <c r="Q92"/>
      <c r="R92"/>
    </row>
    <row r="93" spans="2:18" ht="15.75" thickBot="1">
      <c r="I93" s="208"/>
      <c r="J93" s="60">
        <f>J57+J43+J31+J20+J17+J7</f>
        <v>14485385.810000001</v>
      </c>
      <c r="K93" s="60">
        <f>K57+K43+K31+K20+K17+K7+K29</f>
        <v>152708803.75999999</v>
      </c>
      <c r="L93" s="4"/>
      <c r="M93" s="60">
        <f>M57+M43+M31+M20+M17+M7</f>
        <v>5191093.8930000002</v>
      </c>
      <c r="N93" s="60"/>
      <c r="O93" s="60">
        <f>O57+O43+O31+O20+O17+O7+O29</f>
        <v>24491364.529599994</v>
      </c>
      <c r="P93"/>
      <c r="Q93"/>
      <c r="R93"/>
    </row>
    <row r="94" spans="2:18">
      <c r="I94" s="208"/>
      <c r="J94" s="62" t="s">
        <v>3</v>
      </c>
      <c r="K94" s="64" t="s">
        <v>4</v>
      </c>
      <c r="L94" s="4"/>
      <c r="M94" s="62" t="s">
        <v>3</v>
      </c>
      <c r="N94" s="64"/>
      <c r="O94" s="64" t="s">
        <v>4</v>
      </c>
      <c r="P94"/>
      <c r="Q94"/>
      <c r="R94"/>
    </row>
    <row r="95" spans="2:18">
      <c r="I95" s="208"/>
      <c r="J95" s="64"/>
      <c r="K95" s="64"/>
      <c r="L95" s="4"/>
      <c r="M95" s="62"/>
      <c r="N95" s="63"/>
      <c r="O95" s="63"/>
      <c r="P95"/>
      <c r="Q95"/>
      <c r="R95"/>
    </row>
    <row r="96" spans="2:18" hidden="1">
      <c r="I96" s="209"/>
      <c r="J96" s="3"/>
      <c r="K96" s="3"/>
      <c r="L96" s="3"/>
      <c r="N96" s="63"/>
      <c r="P96"/>
      <c r="Q96"/>
      <c r="R96"/>
    </row>
    <row r="97" spans="2:18" hidden="1">
      <c r="B97" s="65"/>
      <c r="C97" s="66" t="s">
        <v>76</v>
      </c>
      <c r="H97" s="67"/>
      <c r="I97" s="210"/>
      <c r="J97" s="68"/>
      <c r="K97" s="69"/>
      <c r="L97" s="70"/>
      <c r="M97" s="64"/>
      <c r="N97" s="71"/>
      <c r="P97"/>
      <c r="Q97"/>
      <c r="R97"/>
    </row>
    <row r="98" spans="2:18" hidden="1">
      <c r="B98" s="65"/>
      <c r="C98" s="66" t="s">
        <v>1</v>
      </c>
      <c r="H98" s="67"/>
      <c r="I98" s="210"/>
      <c r="J98" s="68"/>
      <c r="K98" s="69"/>
      <c r="L98" s="70"/>
      <c r="M98" s="64"/>
      <c r="N98" s="72"/>
      <c r="P98"/>
      <c r="Q98"/>
      <c r="R98"/>
    </row>
    <row r="99" spans="2:18" ht="18.75" hidden="1">
      <c r="B99" s="65"/>
      <c r="C99" s="66" t="s">
        <v>77</v>
      </c>
      <c r="E99" s="11"/>
      <c r="F99" s="11"/>
      <c r="G99" s="11"/>
      <c r="H99" s="67"/>
      <c r="I99" s="211"/>
      <c r="J99" s="68"/>
      <c r="K99" s="69"/>
      <c r="L99" s="70"/>
      <c r="M99" s="64"/>
      <c r="N99" s="72"/>
      <c r="O99" s="63"/>
      <c r="P99"/>
      <c r="Q99"/>
      <c r="R99"/>
    </row>
    <row r="100" spans="2:18" ht="15.75" hidden="1" thickBot="1">
      <c r="C100" s="233"/>
      <c r="E100" s="11"/>
      <c r="F100" s="11"/>
      <c r="G100" s="11"/>
      <c r="H100" s="4"/>
      <c r="I100" s="208"/>
      <c r="J100" s="73"/>
      <c r="K100" s="73"/>
      <c r="L100" s="73"/>
      <c r="M100" s="74"/>
      <c r="N100" s="75" t="s">
        <v>78</v>
      </c>
      <c r="P100"/>
      <c r="Q100"/>
      <c r="R100"/>
    </row>
    <row r="101" spans="2:18" ht="18.75" hidden="1">
      <c r="C101" s="234"/>
      <c r="E101" s="11"/>
      <c r="F101" s="11"/>
      <c r="G101" s="11"/>
      <c r="H101" s="4"/>
      <c r="I101" s="212"/>
      <c r="J101" s="76" t="s">
        <v>79</v>
      </c>
      <c r="K101" s="77"/>
      <c r="L101" s="78"/>
      <c r="M101" s="79">
        <f>+M7+M17+M20+M31+M43+M57</f>
        <v>5191093.8929999992</v>
      </c>
      <c r="N101" s="79">
        <f>+N7+N17+N20+N31+N43+N57</f>
        <v>11155872.037</v>
      </c>
      <c r="P101"/>
      <c r="Q101"/>
      <c r="R101"/>
    </row>
    <row r="102" spans="2:18" ht="18.75" hidden="1">
      <c r="C102" s="80" t="s">
        <v>80</v>
      </c>
      <c r="E102" s="214"/>
      <c r="F102" s="214"/>
      <c r="G102" s="214"/>
      <c r="H102" s="214"/>
      <c r="I102" s="212"/>
      <c r="J102" s="81" t="s">
        <v>81</v>
      </c>
      <c r="K102" s="82"/>
      <c r="L102" s="83"/>
      <c r="M102" s="84">
        <v>4283699.4000000004</v>
      </c>
      <c r="N102" s="63" t="s">
        <v>82</v>
      </c>
      <c r="P102"/>
      <c r="Q102"/>
      <c r="R102"/>
    </row>
    <row r="103" spans="2:18" ht="18.75" hidden="1">
      <c r="C103" s="85"/>
      <c r="E103" s="11"/>
      <c r="F103" s="11"/>
      <c r="G103" s="11"/>
      <c r="H103" s="4"/>
      <c r="I103" s="212"/>
      <c r="J103" s="81" t="s">
        <v>83</v>
      </c>
      <c r="K103" s="82"/>
      <c r="L103" s="83"/>
      <c r="M103" s="84">
        <f>+M101-M102</f>
        <v>907394.49299999885</v>
      </c>
      <c r="N103" s="74"/>
      <c r="P103"/>
      <c r="Q103"/>
      <c r="R103"/>
    </row>
    <row r="104" spans="2:18" ht="18.75" hidden="1">
      <c r="C104" s="86"/>
      <c r="E104" s="11"/>
      <c r="F104" s="11"/>
      <c r="G104" s="11"/>
      <c r="H104" s="4"/>
      <c r="I104" s="212"/>
      <c r="J104" s="81" t="s">
        <v>84</v>
      </c>
      <c r="K104" s="82"/>
      <c r="L104" s="83"/>
      <c r="M104" s="84">
        <f>+ROUND(10%*M103,2)</f>
        <v>90739.45</v>
      </c>
      <c r="N104" s="74"/>
      <c r="P104"/>
      <c r="Q104"/>
      <c r="R104"/>
    </row>
    <row r="105" spans="2:18" ht="18.75" hidden="1">
      <c r="C105" s="87"/>
      <c r="E105" s="11"/>
      <c r="F105" s="11"/>
      <c r="G105" s="11"/>
      <c r="H105" s="4"/>
      <c r="I105" s="212"/>
      <c r="J105" s="81" t="s">
        <v>85</v>
      </c>
      <c r="K105" s="82"/>
      <c r="L105" s="83"/>
      <c r="M105" s="84">
        <f>+ROUND(5%*M103,2)</f>
        <v>45369.72</v>
      </c>
      <c r="N105" s="74"/>
      <c r="P105"/>
      <c r="Q105"/>
      <c r="R105"/>
    </row>
    <row r="106" spans="2:18" ht="19.5" hidden="1" thickBot="1">
      <c r="C106" s="88" t="s">
        <v>86</v>
      </c>
      <c r="E106" s="11"/>
      <c r="F106" s="11"/>
      <c r="G106" s="11"/>
      <c r="H106" s="4"/>
      <c r="I106" s="212"/>
      <c r="J106" s="89" t="s">
        <v>87</v>
      </c>
      <c r="K106" s="90"/>
      <c r="L106" s="91"/>
      <c r="M106" s="92">
        <f>+ROUND(5%*M103,2)</f>
        <v>45369.72</v>
      </c>
      <c r="N106" s="74"/>
      <c r="P106"/>
      <c r="Q106"/>
      <c r="R106"/>
    </row>
    <row r="107" spans="2:18" ht="19.5" hidden="1" thickBot="1">
      <c r="C107" s="88" t="s">
        <v>88</v>
      </c>
      <c r="H107" s="4"/>
      <c r="I107" s="212"/>
      <c r="J107" s="93" t="s">
        <v>89</v>
      </c>
      <c r="K107" s="94"/>
      <c r="L107" s="95"/>
      <c r="M107" s="96">
        <f>+M103-SUM(M104:M106)</f>
        <v>725915.60299999884</v>
      </c>
      <c r="N107" s="74"/>
      <c r="O107" s="63"/>
      <c r="P107"/>
      <c r="Q107"/>
      <c r="R107"/>
    </row>
    <row r="108" spans="2:18" ht="18.75" hidden="1">
      <c r="C108" s="88" t="s">
        <v>90</v>
      </c>
      <c r="E108" s="11"/>
      <c r="F108" s="11"/>
      <c r="G108" s="11"/>
      <c r="H108" s="4"/>
      <c r="I108" s="208"/>
      <c r="N108" s="97"/>
      <c r="P108"/>
      <c r="Q108"/>
      <c r="R108"/>
    </row>
    <row r="109" spans="2:18" hidden="1">
      <c r="C109" s="85"/>
      <c r="M109" s="98"/>
      <c r="N109" s="98"/>
      <c r="O109" s="64"/>
      <c r="P109"/>
      <c r="Q109"/>
      <c r="R109"/>
    </row>
    <row r="110" spans="2:18" hidden="1">
      <c r="C110" s="87"/>
      <c r="M110" s="98"/>
      <c r="N110" s="98"/>
      <c r="O110" s="64"/>
      <c r="P110" s="63"/>
      <c r="R110"/>
    </row>
    <row r="111" spans="2:18" hidden="1">
      <c r="C111" s="99" t="s">
        <v>91</v>
      </c>
      <c r="E111"/>
      <c r="F111"/>
      <c r="G111"/>
      <c r="H111"/>
      <c r="I111" s="213"/>
      <c r="J111"/>
      <c r="M111" s="98"/>
      <c r="N111" s="98"/>
      <c r="O111" s="64"/>
      <c r="Q111"/>
      <c r="R111"/>
    </row>
    <row r="112" spans="2:18" ht="15.75" hidden="1" thickBot="1">
      <c r="C112" s="100"/>
      <c r="E112"/>
      <c r="F112"/>
      <c r="G112"/>
      <c r="H112"/>
      <c r="I112" s="213"/>
      <c r="J112"/>
      <c r="K112" s="4"/>
      <c r="L112" s="30"/>
      <c r="M112" s="73"/>
      <c r="N112" s="73"/>
      <c r="O112" s="62"/>
      <c r="P112" s="101" t="s">
        <v>78</v>
      </c>
      <c r="Q112"/>
      <c r="R112"/>
    </row>
    <row r="113" spans="3:18" hidden="1">
      <c r="C113" s="99" t="s">
        <v>80</v>
      </c>
      <c r="E113"/>
      <c r="F113"/>
      <c r="G113"/>
      <c r="H113"/>
      <c r="I113" s="213"/>
      <c r="J113"/>
      <c r="M113" s="102" t="str">
        <f t="shared" ref="M113:M119" si="71">+J101</f>
        <v>CERTIFICACION ACUMULADA</v>
      </c>
      <c r="N113" s="103"/>
      <c r="O113" s="104">
        <f>+O20+O29+O31+O43+O87+O90</f>
        <v>24491364.529599994</v>
      </c>
      <c r="P113" s="104">
        <f>+P20+P29+P31+P43+P87+P90</f>
        <v>90426508.720399991</v>
      </c>
      <c r="Q113"/>
      <c r="R113">
        <f>+O113*0.9</f>
        <v>22042228.076639995</v>
      </c>
    </row>
    <row r="114" spans="3:18" hidden="1">
      <c r="C114" s="85"/>
      <c r="E114"/>
      <c r="F114"/>
      <c r="G114"/>
      <c r="H114"/>
      <c r="I114" s="213"/>
      <c r="J114"/>
      <c r="M114" s="105" t="str">
        <f t="shared" si="71"/>
        <v>(CERTIFICACION ANTERIOR)</v>
      </c>
      <c r="N114" s="106"/>
      <c r="O114" s="107">
        <f>+'[1]CERT 6'!M85</f>
        <v>14219711.770000001</v>
      </c>
      <c r="P114" s="63" t="s">
        <v>82</v>
      </c>
      <c r="Q114"/>
      <c r="R114"/>
    </row>
    <row r="115" spans="3:18" hidden="1">
      <c r="C115" s="87"/>
      <c r="E115"/>
      <c r="F115"/>
      <c r="G115"/>
      <c r="H115"/>
      <c r="I115" s="213"/>
      <c r="J115"/>
      <c r="M115" s="105" t="str">
        <f t="shared" si="71"/>
        <v>INCREMENTO CERTIFICACION</v>
      </c>
      <c r="N115" s="106"/>
      <c r="O115" s="107">
        <f>+O113-O114</f>
        <v>10271652.759599993</v>
      </c>
      <c r="Q115"/>
      <c r="R115"/>
    </row>
    <row r="116" spans="3:18" hidden="1">
      <c r="C116" s="108" t="s">
        <v>92</v>
      </c>
      <c r="E116"/>
      <c r="F116"/>
      <c r="G116"/>
      <c r="H116"/>
      <c r="I116" s="213"/>
      <c r="J116"/>
      <c r="M116" s="105" t="str">
        <f t="shared" si="71"/>
        <v>(AMORTIZACION ANTICIPO 10%)</v>
      </c>
      <c r="N116" s="106"/>
      <c r="O116" s="107">
        <f>+ROUND(10%*O115,2)</f>
        <v>1027165.28</v>
      </c>
      <c r="Q116"/>
      <c r="R116"/>
    </row>
    <row r="117" spans="3:18" ht="15.75" hidden="1" thickBot="1">
      <c r="C117" s="88" t="s">
        <v>80</v>
      </c>
      <c r="E117"/>
      <c r="F117"/>
      <c r="G117"/>
      <c r="H117"/>
      <c r="I117" s="213"/>
      <c r="J117"/>
      <c r="M117" s="105" t="str">
        <f t="shared" si="71"/>
        <v>(RETENCION TERMINACION 5%)</v>
      </c>
      <c r="N117" s="106"/>
      <c r="O117" s="107">
        <f>+ROUND(5%*O115,2)</f>
        <v>513582.64</v>
      </c>
      <c r="Q117"/>
      <c r="R117"/>
    </row>
    <row r="118" spans="3:18" ht="15.75" hidden="1" thickBot="1">
      <c r="C118" s="85"/>
      <c r="E118" s="215">
        <v>1788723.13</v>
      </c>
      <c r="F118" s="216"/>
      <c r="G118" s="216"/>
      <c r="H118" s="216"/>
      <c r="I118" s="217"/>
      <c r="J118" t="s">
        <v>3</v>
      </c>
      <c r="M118" s="109" t="str">
        <f t="shared" si="71"/>
        <v>(RETENCION ACEPTACION 5%)</v>
      </c>
      <c r="N118" s="110"/>
      <c r="O118" s="111">
        <f>+ROUND(5%*O115,2)</f>
        <v>513582.64</v>
      </c>
      <c r="Q118"/>
      <c r="R118"/>
    </row>
    <row r="119" spans="3:18" ht="15.75" hidden="1" thickBot="1">
      <c r="C119" s="87"/>
      <c r="E119" s="218" t="s">
        <v>93</v>
      </c>
      <c r="F119" s="218"/>
      <c r="G119" s="218"/>
      <c r="H119" s="218"/>
      <c r="I119" s="218"/>
      <c r="J119" s="218"/>
      <c r="K119" s="218"/>
      <c r="M119" s="112" t="str">
        <f t="shared" si="71"/>
        <v>CERTIFICACION EN CURSO</v>
      </c>
      <c r="N119" s="113"/>
      <c r="O119" s="114">
        <f>+O115-SUM(O116:O118)</f>
        <v>8217322.1995999925</v>
      </c>
      <c r="Q119"/>
      <c r="R119"/>
    </row>
    <row r="120" spans="3:18" hidden="1"/>
    <row r="121" spans="3:18" hidden="1"/>
  </sheetData>
  <mergeCells count="10">
    <mergeCell ref="M2:P3"/>
    <mergeCell ref="I3:K3"/>
    <mergeCell ref="M5:N5"/>
    <mergeCell ref="O5:P5"/>
    <mergeCell ref="C100:C101"/>
    <mergeCell ref="E102:H102"/>
    <mergeCell ref="E118:I118"/>
    <mergeCell ref="E119:K119"/>
    <mergeCell ref="F5:G5"/>
    <mergeCell ref="B2:H3"/>
  </mergeCells>
  <pageMargins left="0.75" right="0.75" top="1" bottom="1" header="0.5" footer="0.5"/>
  <pageSetup scale="4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Cèsar</dc:creator>
  <cp:lastModifiedBy>usuario</cp:lastModifiedBy>
  <cp:lastPrinted>2016-09-14T17:42:39Z</cp:lastPrinted>
  <dcterms:created xsi:type="dcterms:W3CDTF">2016-09-14T15:22:01Z</dcterms:created>
  <dcterms:modified xsi:type="dcterms:W3CDTF">2017-03-28T16:10:24Z</dcterms:modified>
</cp:coreProperties>
</file>