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3\Proyectos y Programas\Calendarios de ejecución de programas y proyectos\Diciembre\"/>
    </mc:Choice>
  </mc:AlternateContent>
  <xr:revisionPtr revIDLastSave="0" documentId="8_{03E5C3F8-24B2-47BB-9978-CC2DF250E4FA}" xr6:coauthVersionLast="47" xr6:coauthVersionMax="47" xr10:uidLastSave="{00000000-0000-0000-0000-000000000000}"/>
  <bookViews>
    <workbookView xWindow="-120" yWindow="-120" windowWidth="29040" windowHeight="15840" firstSheet="5" activeTab="11" xr2:uid="{17676825-C918-42AE-81FC-13BF2124730B}"/>
  </bookViews>
  <sheets>
    <sheet name="CUB.1 San Marcos" sheetId="2" r:id="rId1"/>
    <sheet name="Cub. 2 Cabarete" sheetId="3" r:id="rId2"/>
    <sheet name="Cub.1 Maria La O" sheetId="4" r:id="rId3"/>
    <sheet name="CUB.1 Catalina" sheetId="5" r:id="rId4"/>
    <sheet name="Cub.1 Los LLibre" sheetId="6" r:id="rId5"/>
    <sheet name="Noviembre--" sheetId="7" r:id="rId6"/>
    <sheet name="CUB.2 La Catalina" sheetId="8" r:id="rId7"/>
    <sheet name="CUB.3 Edificio" sheetId="9" r:id="rId8"/>
    <sheet name="CUB.2 Maria la O" sheetId="10" r:id="rId9"/>
    <sheet name="CUB.3 Guananico" sheetId="11" r:id="rId10"/>
    <sheet name="Diciembre----" sheetId="12" r:id="rId11"/>
    <sheet name="cub.3 Cabarete" sheetId="13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1" i="13" l="1"/>
  <c r="L146" i="13"/>
  <c r="M146" i="13" s="1"/>
  <c r="J146" i="13"/>
  <c r="I146" i="13"/>
  <c r="E146" i="13"/>
  <c r="F146" i="13" s="1"/>
  <c r="I145" i="13"/>
  <c r="J145" i="13" s="1"/>
  <c r="E145" i="13"/>
  <c r="F145" i="13" s="1"/>
  <c r="F147" i="13" s="1"/>
  <c r="A145" i="13"/>
  <c r="A146" i="13" s="1"/>
  <c r="M143" i="13"/>
  <c r="M142" i="13"/>
  <c r="L142" i="13"/>
  <c r="I142" i="13"/>
  <c r="J142" i="13" s="1"/>
  <c r="F142" i="13"/>
  <c r="M141" i="13"/>
  <c r="L141" i="13"/>
  <c r="L143" i="13" s="1"/>
  <c r="I141" i="13"/>
  <c r="J141" i="13" s="1"/>
  <c r="F141" i="13"/>
  <c r="F143" i="13" s="1"/>
  <c r="A141" i="13"/>
  <c r="L138" i="13"/>
  <c r="M138" i="13" s="1"/>
  <c r="J138" i="13"/>
  <c r="I138" i="13"/>
  <c r="F138" i="13"/>
  <c r="L135" i="13"/>
  <c r="M135" i="13" s="1"/>
  <c r="J135" i="13"/>
  <c r="H135" i="13"/>
  <c r="I135" i="13" s="1"/>
  <c r="D135" i="13"/>
  <c r="F135" i="13" s="1"/>
  <c r="L134" i="13"/>
  <c r="M134" i="13" s="1"/>
  <c r="H134" i="13"/>
  <c r="I134" i="13" s="1"/>
  <c r="J134" i="13" s="1"/>
  <c r="D134" i="13"/>
  <c r="D136" i="13" s="1"/>
  <c r="F136" i="13" s="1"/>
  <c r="A134" i="13"/>
  <c r="A135" i="13" s="1"/>
  <c r="A136" i="13" s="1"/>
  <c r="A137" i="13" s="1"/>
  <c r="L132" i="13"/>
  <c r="M132" i="13" s="1"/>
  <c r="F132" i="13"/>
  <c r="L131" i="13"/>
  <c r="M131" i="13" s="1"/>
  <c r="I131" i="13"/>
  <c r="J131" i="13" s="1"/>
  <c r="F131" i="13"/>
  <c r="A131" i="13"/>
  <c r="L128" i="13"/>
  <c r="M128" i="13" s="1"/>
  <c r="J128" i="13"/>
  <c r="I128" i="13"/>
  <c r="F128" i="13"/>
  <c r="M127" i="13"/>
  <c r="L127" i="13"/>
  <c r="I127" i="13"/>
  <c r="J127" i="13" s="1"/>
  <c r="F127" i="13"/>
  <c r="M126" i="13"/>
  <c r="L126" i="13"/>
  <c r="J126" i="13"/>
  <c r="I126" i="13"/>
  <c r="F126" i="13"/>
  <c r="F129" i="13" s="1"/>
  <c r="A125" i="13"/>
  <c r="A126" i="13" s="1"/>
  <c r="A127" i="13" s="1"/>
  <c r="A128" i="13" s="1"/>
  <c r="L122" i="13"/>
  <c r="L121" i="13"/>
  <c r="K121" i="13"/>
  <c r="M121" i="13" s="1"/>
  <c r="J121" i="13"/>
  <c r="I121" i="13"/>
  <c r="F121" i="13"/>
  <c r="K120" i="13"/>
  <c r="M120" i="13" s="1"/>
  <c r="I120" i="13"/>
  <c r="J120" i="13" s="1"/>
  <c r="F120" i="13"/>
  <c r="K119" i="13"/>
  <c r="M119" i="13" s="1"/>
  <c r="I119" i="13"/>
  <c r="J119" i="13" s="1"/>
  <c r="D119" i="13"/>
  <c r="F119" i="13" s="1"/>
  <c r="L118" i="13"/>
  <c r="K118" i="13"/>
  <c r="M118" i="13" s="1"/>
  <c r="J118" i="13"/>
  <c r="I118" i="13"/>
  <c r="H119" i="13" s="1"/>
  <c r="L119" i="13" s="1"/>
  <c r="D118" i="13"/>
  <c r="F118" i="13" s="1"/>
  <c r="F122" i="13" s="1"/>
  <c r="L116" i="13"/>
  <c r="L115" i="13"/>
  <c r="M115" i="13" s="1"/>
  <c r="K115" i="13"/>
  <c r="K116" i="13" s="1"/>
  <c r="M116" i="13" s="1"/>
  <c r="I115" i="13"/>
  <c r="J115" i="13" s="1"/>
  <c r="F115" i="13"/>
  <c r="F116" i="13" s="1"/>
  <c r="L113" i="13"/>
  <c r="L112" i="13"/>
  <c r="K112" i="13"/>
  <c r="M112" i="13" s="1"/>
  <c r="J112" i="13"/>
  <c r="I112" i="13"/>
  <c r="F112" i="13"/>
  <c r="M111" i="13"/>
  <c r="L111" i="13"/>
  <c r="K111" i="13"/>
  <c r="I111" i="13"/>
  <c r="J111" i="13" s="1"/>
  <c r="F111" i="13"/>
  <c r="L110" i="13"/>
  <c r="K110" i="13"/>
  <c r="M110" i="13" s="1"/>
  <c r="J110" i="13"/>
  <c r="I110" i="13"/>
  <c r="F110" i="13"/>
  <c r="F113" i="13" s="1"/>
  <c r="K106" i="13"/>
  <c r="M106" i="13" s="1"/>
  <c r="I106" i="13"/>
  <c r="G106" i="13"/>
  <c r="J106" i="13" s="1"/>
  <c r="F106" i="13"/>
  <c r="K105" i="13"/>
  <c r="M105" i="13" s="1"/>
  <c r="G105" i="13"/>
  <c r="I105" i="13" s="1"/>
  <c r="F105" i="13"/>
  <c r="K104" i="13"/>
  <c r="M104" i="13" s="1"/>
  <c r="J104" i="13"/>
  <c r="I104" i="13"/>
  <c r="G104" i="13"/>
  <c r="F104" i="13"/>
  <c r="M103" i="13"/>
  <c r="J103" i="13"/>
  <c r="G103" i="13"/>
  <c r="K103" i="13" s="1"/>
  <c r="F103" i="13"/>
  <c r="A103" i="13"/>
  <c r="A104" i="13" s="1"/>
  <c r="A105" i="13" s="1"/>
  <c r="A106" i="13" s="1"/>
  <c r="A107" i="13" s="1"/>
  <c r="G102" i="13"/>
  <c r="J102" i="13" s="1"/>
  <c r="F102" i="13"/>
  <c r="K100" i="13"/>
  <c r="M99" i="13"/>
  <c r="M100" i="13" s="1"/>
  <c r="K99" i="13"/>
  <c r="J99" i="13"/>
  <c r="I99" i="13"/>
  <c r="F99" i="13"/>
  <c r="F100" i="13" s="1"/>
  <c r="K96" i="13"/>
  <c r="M96" i="13" s="1"/>
  <c r="J96" i="13"/>
  <c r="I96" i="13"/>
  <c r="G96" i="13"/>
  <c r="F96" i="13"/>
  <c r="M95" i="13"/>
  <c r="K95" i="13"/>
  <c r="J95" i="13"/>
  <c r="I95" i="13"/>
  <c r="F95" i="13"/>
  <c r="K94" i="13"/>
  <c r="M94" i="13" s="1"/>
  <c r="G94" i="13"/>
  <c r="I94" i="13" s="1"/>
  <c r="F94" i="13"/>
  <c r="F97" i="13" s="1"/>
  <c r="A94" i="13"/>
  <c r="A95" i="13" s="1"/>
  <c r="A96" i="13" s="1"/>
  <c r="A97" i="13" s="1"/>
  <c r="K93" i="13"/>
  <c r="M93" i="13" s="1"/>
  <c r="J93" i="13"/>
  <c r="I93" i="13"/>
  <c r="G93" i="13"/>
  <c r="F93" i="13"/>
  <c r="A90" i="13"/>
  <c r="G89" i="13"/>
  <c r="J89" i="13" s="1"/>
  <c r="F89" i="13"/>
  <c r="K88" i="13"/>
  <c r="M88" i="13" s="1"/>
  <c r="J88" i="13"/>
  <c r="G88" i="13"/>
  <c r="I88" i="13" s="1"/>
  <c r="F88" i="13"/>
  <c r="A88" i="13"/>
  <c r="A89" i="13" s="1"/>
  <c r="K87" i="13"/>
  <c r="M87" i="13" s="1"/>
  <c r="J87" i="13"/>
  <c r="I87" i="13"/>
  <c r="G87" i="13"/>
  <c r="F87" i="13"/>
  <c r="F90" i="13" s="1"/>
  <c r="F82" i="13"/>
  <c r="F81" i="13"/>
  <c r="F78" i="13"/>
  <c r="F77" i="13"/>
  <c r="F76" i="13"/>
  <c r="F75" i="13"/>
  <c r="F79" i="13" s="1"/>
  <c r="F83" i="13" s="1"/>
  <c r="F149" i="13" s="1"/>
  <c r="F74" i="13"/>
  <c r="F70" i="13"/>
  <c r="F69" i="13"/>
  <c r="F68" i="13"/>
  <c r="F67" i="13"/>
  <c r="F66" i="13"/>
  <c r="F65" i="13"/>
  <c r="F71" i="13" s="1"/>
  <c r="F64" i="13"/>
  <c r="F61" i="13"/>
  <c r="F60" i="13"/>
  <c r="F59" i="13"/>
  <c r="F58" i="13"/>
  <c r="F57" i="13"/>
  <c r="F56" i="13"/>
  <c r="F62" i="13" s="1"/>
  <c r="E55" i="13"/>
  <c r="F53" i="13"/>
  <c r="E52" i="13"/>
  <c r="E51" i="13"/>
  <c r="E50" i="13"/>
  <c r="E49" i="13"/>
  <c r="E48" i="13"/>
  <c r="E47" i="13"/>
  <c r="E46" i="13"/>
  <c r="F44" i="13"/>
  <c r="E43" i="13"/>
  <c r="F41" i="13"/>
  <c r="E40" i="13"/>
  <c r="E39" i="13"/>
  <c r="E38" i="13"/>
  <c r="E37" i="13"/>
  <c r="F35" i="13"/>
  <c r="E34" i="13"/>
  <c r="F32" i="13"/>
  <c r="E31" i="13"/>
  <c r="F28" i="13"/>
  <c r="E27" i="13"/>
  <c r="F25" i="13"/>
  <c r="E24" i="13"/>
  <c r="E23" i="13"/>
  <c r="E22" i="13"/>
  <c r="E21" i="13"/>
  <c r="F19" i="13"/>
  <c r="E18" i="13"/>
  <c r="F16" i="13"/>
  <c r="E15" i="13"/>
  <c r="M8" i="13"/>
  <c r="C300" i="11"/>
  <c r="L260" i="11"/>
  <c r="M260" i="11" s="1"/>
  <c r="J260" i="11"/>
  <c r="I260" i="11"/>
  <c r="F260" i="11"/>
  <c r="L259" i="11"/>
  <c r="M259" i="11" s="1"/>
  <c r="I259" i="11"/>
  <c r="J259" i="11" s="1"/>
  <c r="F259" i="11"/>
  <c r="L258" i="11"/>
  <c r="M258" i="11" s="1"/>
  <c r="I258" i="11"/>
  <c r="J258" i="11" s="1"/>
  <c r="F258" i="11"/>
  <c r="M257" i="11"/>
  <c r="L257" i="11"/>
  <c r="I257" i="11"/>
  <c r="J257" i="11" s="1"/>
  <c r="F257" i="11"/>
  <c r="L256" i="11"/>
  <c r="M256" i="11" s="1"/>
  <c r="I256" i="11"/>
  <c r="J256" i="11" s="1"/>
  <c r="F256" i="11"/>
  <c r="L255" i="11"/>
  <c r="M255" i="11" s="1"/>
  <c r="I255" i="11"/>
  <c r="J255" i="11" s="1"/>
  <c r="F255" i="11"/>
  <c r="L254" i="11"/>
  <c r="M254" i="11" s="1"/>
  <c r="I254" i="11"/>
  <c r="J254" i="11" s="1"/>
  <c r="F254" i="11"/>
  <c r="L253" i="11"/>
  <c r="L261" i="11" s="1"/>
  <c r="M261" i="11" s="1"/>
  <c r="I253" i="11"/>
  <c r="J253" i="11" s="1"/>
  <c r="F253" i="11"/>
  <c r="F261" i="11" s="1"/>
  <c r="A253" i="11"/>
  <c r="A254" i="11" s="1"/>
  <c r="A255" i="11" s="1"/>
  <c r="A256" i="11" s="1"/>
  <c r="A257" i="11" s="1"/>
  <c r="A258" i="11" s="1"/>
  <c r="A259" i="11" s="1"/>
  <c r="A260" i="11" s="1"/>
  <c r="M249" i="11"/>
  <c r="L249" i="11"/>
  <c r="I249" i="11"/>
  <c r="J249" i="11" s="1"/>
  <c r="F249" i="11"/>
  <c r="L248" i="11"/>
  <c r="M248" i="11" s="1"/>
  <c r="J248" i="11"/>
  <c r="I248" i="11"/>
  <c r="F248" i="11"/>
  <c r="A248" i="11"/>
  <c r="A249" i="11" s="1"/>
  <c r="M247" i="11"/>
  <c r="L247" i="11"/>
  <c r="I247" i="11"/>
  <c r="J247" i="11" s="1"/>
  <c r="F247" i="11"/>
  <c r="F250" i="11" s="1"/>
  <c r="A247" i="11"/>
  <c r="L243" i="11"/>
  <c r="M243" i="11" s="1"/>
  <c r="I243" i="11"/>
  <c r="J243" i="11" s="1"/>
  <c r="F243" i="11"/>
  <c r="M242" i="11"/>
  <c r="L242" i="11"/>
  <c r="I242" i="11"/>
  <c r="J242" i="11" s="1"/>
  <c r="F242" i="11"/>
  <c r="A242" i="11"/>
  <c r="A243" i="11" s="1"/>
  <c r="L241" i="11"/>
  <c r="M241" i="11" s="1"/>
  <c r="I241" i="11"/>
  <c r="J241" i="11" s="1"/>
  <c r="F241" i="11"/>
  <c r="L240" i="11"/>
  <c r="M240" i="11" s="1"/>
  <c r="I240" i="11"/>
  <c r="J240" i="11" s="1"/>
  <c r="F240" i="11"/>
  <c r="F244" i="11" s="1"/>
  <c r="A240" i="11"/>
  <c r="A241" i="11" s="1"/>
  <c r="M237" i="11"/>
  <c r="L237" i="11"/>
  <c r="I237" i="11"/>
  <c r="J237" i="11" s="1"/>
  <c r="F237" i="11"/>
  <c r="L236" i="11"/>
  <c r="M236" i="11" s="1"/>
  <c r="J236" i="11"/>
  <c r="I236" i="11"/>
  <c r="F236" i="11"/>
  <c r="M235" i="11"/>
  <c r="L235" i="11"/>
  <c r="I235" i="11"/>
  <c r="J235" i="11" s="1"/>
  <c r="F235" i="11"/>
  <c r="L234" i="11"/>
  <c r="M234" i="11" s="1"/>
  <c r="J234" i="11"/>
  <c r="I234" i="11"/>
  <c r="F234" i="11"/>
  <c r="M233" i="11"/>
  <c r="L233" i="11"/>
  <c r="I233" i="11"/>
  <c r="J233" i="11" s="1"/>
  <c r="F233" i="11"/>
  <c r="L232" i="11"/>
  <c r="M232" i="11" s="1"/>
  <c r="J232" i="11"/>
  <c r="I232" i="11"/>
  <c r="F232" i="11"/>
  <c r="M231" i="11"/>
  <c r="L231" i="11"/>
  <c r="I231" i="11"/>
  <c r="J231" i="11" s="1"/>
  <c r="F231" i="11"/>
  <c r="L230" i="11"/>
  <c r="M230" i="11" s="1"/>
  <c r="J230" i="11"/>
  <c r="I230" i="11"/>
  <c r="F230" i="11"/>
  <c r="M229" i="11"/>
  <c r="L229" i="11"/>
  <c r="I229" i="11"/>
  <c r="J229" i="11" s="1"/>
  <c r="F229" i="11"/>
  <c r="L228" i="11"/>
  <c r="M228" i="11" s="1"/>
  <c r="J228" i="11"/>
  <c r="I228" i="11"/>
  <c r="F228" i="11"/>
  <c r="A228" i="11"/>
  <c r="A229" i="11" s="1"/>
  <c r="A230" i="11" s="1"/>
  <c r="A231" i="11" s="1"/>
  <c r="A232" i="11" s="1"/>
  <c r="A233" i="11" s="1"/>
  <c r="A234" i="11" s="1"/>
  <c r="A235" i="11" s="1"/>
  <c r="A236" i="11" s="1"/>
  <c r="A237" i="11" s="1"/>
  <c r="M227" i="11"/>
  <c r="L227" i="11"/>
  <c r="I227" i="11"/>
  <c r="J227" i="11" s="1"/>
  <c r="F227" i="11"/>
  <c r="F238" i="11" s="1"/>
  <c r="A227" i="11"/>
  <c r="L226" i="11"/>
  <c r="J226" i="11"/>
  <c r="I226" i="11"/>
  <c r="F226" i="11"/>
  <c r="L222" i="11"/>
  <c r="M222" i="11" s="1"/>
  <c r="J222" i="11"/>
  <c r="I222" i="11"/>
  <c r="F222" i="11"/>
  <c r="M221" i="11"/>
  <c r="L221" i="11"/>
  <c r="I221" i="11"/>
  <c r="J221" i="11" s="1"/>
  <c r="F221" i="11"/>
  <c r="L220" i="11"/>
  <c r="M220" i="11" s="1"/>
  <c r="J220" i="11"/>
  <c r="I220" i="11"/>
  <c r="F220" i="11"/>
  <c r="M219" i="11"/>
  <c r="L219" i="11"/>
  <c r="I219" i="11"/>
  <c r="J219" i="11" s="1"/>
  <c r="F219" i="11"/>
  <c r="L218" i="11"/>
  <c r="M218" i="11" s="1"/>
  <c r="J218" i="11"/>
  <c r="I218" i="11"/>
  <c r="F218" i="11"/>
  <c r="M217" i="11"/>
  <c r="L217" i="11"/>
  <c r="I217" i="11"/>
  <c r="J217" i="11" s="1"/>
  <c r="F217" i="11"/>
  <c r="L216" i="11"/>
  <c r="M216" i="11" s="1"/>
  <c r="J216" i="11"/>
  <c r="I216" i="11"/>
  <c r="F216" i="11"/>
  <c r="M215" i="11"/>
  <c r="L215" i="11"/>
  <c r="I215" i="11"/>
  <c r="J215" i="11" s="1"/>
  <c r="F215" i="11"/>
  <c r="L214" i="11"/>
  <c r="M214" i="11" s="1"/>
  <c r="J214" i="11"/>
  <c r="I214" i="11"/>
  <c r="F214" i="11"/>
  <c r="M213" i="11"/>
  <c r="L213" i="11"/>
  <c r="I213" i="11"/>
  <c r="J213" i="11" s="1"/>
  <c r="F213" i="11"/>
  <c r="L212" i="11"/>
  <c r="M212" i="11" s="1"/>
  <c r="J212" i="11"/>
  <c r="I212" i="11"/>
  <c r="F212" i="11"/>
  <c r="A212" i="1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M211" i="11"/>
  <c r="L211" i="11"/>
  <c r="I211" i="11"/>
  <c r="J211" i="11" s="1"/>
  <c r="F211" i="11"/>
  <c r="F223" i="11" s="1"/>
  <c r="A211" i="11"/>
  <c r="L207" i="11"/>
  <c r="M207" i="11" s="1"/>
  <c r="I207" i="11"/>
  <c r="D207" i="11"/>
  <c r="F207" i="11" s="1"/>
  <c r="A207" i="11"/>
  <c r="A208" i="11" s="1"/>
  <c r="L206" i="11"/>
  <c r="M206" i="11" s="1"/>
  <c r="I206" i="11"/>
  <c r="J206" i="11" s="1"/>
  <c r="D206" i="11"/>
  <c r="F206" i="11" s="1"/>
  <c r="F208" i="11" s="1"/>
  <c r="A206" i="11"/>
  <c r="K202" i="11"/>
  <c r="M202" i="11" s="1"/>
  <c r="I202" i="11"/>
  <c r="J202" i="11" s="1"/>
  <c r="F202" i="11"/>
  <c r="A202" i="11"/>
  <c r="K201" i="11"/>
  <c r="M201" i="11" s="1"/>
  <c r="I201" i="11"/>
  <c r="J201" i="11" s="1"/>
  <c r="F201" i="11"/>
  <c r="F200" i="11"/>
  <c r="G199" i="11"/>
  <c r="I199" i="11" s="1"/>
  <c r="J199" i="11" s="1"/>
  <c r="F199" i="11"/>
  <c r="D199" i="11"/>
  <c r="G198" i="11"/>
  <c r="I198" i="11" s="1"/>
  <c r="J198" i="11" s="1"/>
  <c r="F198" i="11"/>
  <c r="F203" i="11" s="1"/>
  <c r="D198" i="11"/>
  <c r="D200" i="11" s="1"/>
  <c r="A198" i="11"/>
  <c r="A199" i="11" s="1"/>
  <c r="A200" i="11" s="1"/>
  <c r="A201" i="11" s="1"/>
  <c r="K195" i="11"/>
  <c r="M195" i="11" s="1"/>
  <c r="F195" i="11"/>
  <c r="K194" i="11"/>
  <c r="M194" i="11" s="1"/>
  <c r="J194" i="11"/>
  <c r="I194" i="11"/>
  <c r="F194" i="11"/>
  <c r="A194" i="11"/>
  <c r="M192" i="11"/>
  <c r="M191" i="11"/>
  <c r="K191" i="11"/>
  <c r="I191" i="11"/>
  <c r="J191" i="11" s="1"/>
  <c r="F191" i="11"/>
  <c r="A191" i="11"/>
  <c r="K190" i="11"/>
  <c r="K192" i="11" s="1"/>
  <c r="I190" i="11"/>
  <c r="J190" i="11" s="1"/>
  <c r="F190" i="11"/>
  <c r="F192" i="11" s="1"/>
  <c r="A190" i="11"/>
  <c r="L185" i="11"/>
  <c r="M185" i="11" s="1"/>
  <c r="J185" i="11"/>
  <c r="I185" i="11"/>
  <c r="F185" i="11"/>
  <c r="M184" i="11"/>
  <c r="L184" i="11"/>
  <c r="I184" i="11"/>
  <c r="J184" i="11" s="1"/>
  <c r="F184" i="11"/>
  <c r="F186" i="11" s="1"/>
  <c r="H182" i="11"/>
  <c r="I182" i="11" s="1"/>
  <c r="J182" i="11" s="1"/>
  <c r="F182" i="11"/>
  <c r="I181" i="11"/>
  <c r="J181" i="11" s="1"/>
  <c r="H181" i="11"/>
  <c r="L181" i="11" s="1"/>
  <c r="F181" i="11"/>
  <c r="F183" i="11" s="1"/>
  <c r="K178" i="11"/>
  <c r="M178" i="11" s="1"/>
  <c r="J178" i="11"/>
  <c r="I178" i="11"/>
  <c r="F178" i="11"/>
  <c r="K177" i="11"/>
  <c r="K179" i="11" s="1"/>
  <c r="M179" i="11" s="1"/>
  <c r="I177" i="11"/>
  <c r="J177" i="11" s="1"/>
  <c r="F177" i="11"/>
  <c r="M176" i="11"/>
  <c r="K176" i="11"/>
  <c r="I176" i="11"/>
  <c r="J176" i="11" s="1"/>
  <c r="F176" i="11"/>
  <c r="F179" i="11" s="1"/>
  <c r="M173" i="11"/>
  <c r="K173" i="11"/>
  <c r="K174" i="11" s="1"/>
  <c r="M174" i="11" s="1"/>
  <c r="I173" i="11"/>
  <c r="J173" i="11" s="1"/>
  <c r="F173" i="11"/>
  <c r="F174" i="11" s="1"/>
  <c r="L171" i="11"/>
  <c r="K170" i="11"/>
  <c r="M170" i="11" s="1"/>
  <c r="J170" i="11"/>
  <c r="I170" i="11"/>
  <c r="F170" i="11"/>
  <c r="K169" i="11"/>
  <c r="M169" i="11" s="1"/>
  <c r="J169" i="11"/>
  <c r="I169" i="11"/>
  <c r="F169" i="11"/>
  <c r="K168" i="11"/>
  <c r="K171" i="11" s="1"/>
  <c r="M171" i="11" s="1"/>
  <c r="I168" i="11"/>
  <c r="J168" i="11" s="1"/>
  <c r="F168" i="11"/>
  <c r="M167" i="11"/>
  <c r="K167" i="11"/>
  <c r="I167" i="11"/>
  <c r="J167" i="11" s="1"/>
  <c r="F167" i="11"/>
  <c r="F171" i="11" s="1"/>
  <c r="K166" i="11"/>
  <c r="M166" i="11" s="1"/>
  <c r="J166" i="11"/>
  <c r="I166" i="11"/>
  <c r="F166" i="11"/>
  <c r="L158" i="11"/>
  <c r="L159" i="11" s="1"/>
  <c r="L160" i="11" s="1"/>
  <c r="K158" i="11"/>
  <c r="M158" i="11" s="1"/>
  <c r="I158" i="11"/>
  <c r="J158" i="11" s="1"/>
  <c r="F158" i="11"/>
  <c r="F159" i="11" s="1"/>
  <c r="F155" i="11"/>
  <c r="F154" i="11"/>
  <c r="L153" i="11"/>
  <c r="K153" i="11"/>
  <c r="I153" i="11"/>
  <c r="J153" i="11" s="1"/>
  <c r="F153" i="11"/>
  <c r="F156" i="11" s="1"/>
  <c r="M152" i="11"/>
  <c r="L152" i="11"/>
  <c r="K152" i="11"/>
  <c r="I152" i="11"/>
  <c r="J152" i="11" s="1"/>
  <c r="F152" i="11"/>
  <c r="L151" i="11"/>
  <c r="L154" i="11" s="1"/>
  <c r="K151" i="11"/>
  <c r="M151" i="11" s="1"/>
  <c r="I151" i="11"/>
  <c r="J151" i="11" s="1"/>
  <c r="F151" i="11"/>
  <c r="F149" i="11"/>
  <c r="F148" i="11"/>
  <c r="F147" i="11"/>
  <c r="K145" i="11"/>
  <c r="F145" i="11"/>
  <c r="K144" i="11"/>
  <c r="I144" i="11"/>
  <c r="J144" i="11" s="1"/>
  <c r="F144" i="11"/>
  <c r="K141" i="11"/>
  <c r="J141" i="11"/>
  <c r="I141" i="11"/>
  <c r="F141" i="11"/>
  <c r="K140" i="11"/>
  <c r="I140" i="11"/>
  <c r="J140" i="11" s="1"/>
  <c r="F140" i="11"/>
  <c r="K139" i="11"/>
  <c r="I139" i="11"/>
  <c r="J139" i="11" s="1"/>
  <c r="F139" i="11"/>
  <c r="K138" i="11"/>
  <c r="I138" i="11"/>
  <c r="J138" i="11" s="1"/>
  <c r="F138" i="11"/>
  <c r="K137" i="11"/>
  <c r="K142" i="11" s="1"/>
  <c r="I137" i="11"/>
  <c r="J137" i="11" s="1"/>
  <c r="F137" i="11"/>
  <c r="F142" i="11" s="1"/>
  <c r="L134" i="11"/>
  <c r="L135" i="11" s="1"/>
  <c r="K134" i="11"/>
  <c r="K135" i="11" s="1"/>
  <c r="M135" i="11" s="1"/>
  <c r="I134" i="11"/>
  <c r="J134" i="11" s="1"/>
  <c r="F134" i="11"/>
  <c r="F135" i="11" s="1"/>
  <c r="F130" i="11"/>
  <c r="F129" i="11"/>
  <c r="F128" i="11"/>
  <c r="F127" i="11"/>
  <c r="F131" i="11" s="1"/>
  <c r="F126" i="11"/>
  <c r="F123" i="11"/>
  <c r="F124" i="11" s="1"/>
  <c r="F120" i="11"/>
  <c r="F119" i="11"/>
  <c r="F118" i="11"/>
  <c r="F117" i="11"/>
  <c r="F116" i="11"/>
  <c r="F115" i="11"/>
  <c r="F114" i="11"/>
  <c r="F113" i="11"/>
  <c r="F121" i="11" s="1"/>
  <c r="F112" i="11"/>
  <c r="F111" i="11"/>
  <c r="F110" i="11"/>
  <c r="F107" i="11"/>
  <c r="F106" i="11"/>
  <c r="F105" i="11"/>
  <c r="F104" i="11"/>
  <c r="F103" i="11"/>
  <c r="F102" i="11"/>
  <c r="F101" i="11"/>
  <c r="F100" i="11"/>
  <c r="F108" i="11" s="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79" i="11" s="1"/>
  <c r="F60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58" i="11" s="1"/>
  <c r="F43" i="11"/>
  <c r="K40" i="11"/>
  <c r="M40" i="11" s="1"/>
  <c r="I40" i="11"/>
  <c r="J40" i="11" s="1"/>
  <c r="F40" i="11"/>
  <c r="K39" i="11"/>
  <c r="M39" i="11" s="1"/>
  <c r="J39" i="11"/>
  <c r="I39" i="11"/>
  <c r="F39" i="11"/>
  <c r="K38" i="11"/>
  <c r="M38" i="11" s="1"/>
  <c r="I38" i="11"/>
  <c r="J38" i="11" s="1"/>
  <c r="F38" i="11"/>
  <c r="M37" i="11"/>
  <c r="K37" i="11"/>
  <c r="I37" i="11"/>
  <c r="J37" i="11" s="1"/>
  <c r="F37" i="11"/>
  <c r="K36" i="11"/>
  <c r="M36" i="11" s="1"/>
  <c r="I36" i="11"/>
  <c r="J36" i="11" s="1"/>
  <c r="F36" i="11"/>
  <c r="K35" i="11"/>
  <c r="M35" i="11" s="1"/>
  <c r="J35" i="11"/>
  <c r="I35" i="11"/>
  <c r="F35" i="11"/>
  <c r="K34" i="11"/>
  <c r="M34" i="11" s="1"/>
  <c r="I34" i="11"/>
  <c r="J34" i="11" s="1"/>
  <c r="F34" i="11"/>
  <c r="M33" i="11"/>
  <c r="K33" i="11"/>
  <c r="I33" i="11"/>
  <c r="J33" i="11" s="1"/>
  <c r="F33" i="11"/>
  <c r="F41" i="11" s="1"/>
  <c r="K32" i="11"/>
  <c r="M32" i="11" s="1"/>
  <c r="I32" i="11"/>
  <c r="J32" i="11" s="1"/>
  <c r="F32" i="11"/>
  <c r="K31" i="11"/>
  <c r="M31" i="11" s="1"/>
  <c r="J31" i="11"/>
  <c r="I31" i="11"/>
  <c r="F31" i="11"/>
  <c r="K30" i="11"/>
  <c r="I30" i="11"/>
  <c r="J30" i="11" s="1"/>
  <c r="F30" i="11"/>
  <c r="M29" i="11"/>
  <c r="K29" i="11"/>
  <c r="I29" i="11"/>
  <c r="J29" i="11" s="1"/>
  <c r="F29" i="11"/>
  <c r="K28" i="11"/>
  <c r="M28" i="11" s="1"/>
  <c r="I28" i="11"/>
  <c r="J28" i="11" s="1"/>
  <c r="F28" i="11"/>
  <c r="K26" i="11"/>
  <c r="M26" i="11" s="1"/>
  <c r="F26" i="11"/>
  <c r="K25" i="11"/>
  <c r="M25" i="11" s="1"/>
  <c r="I25" i="11"/>
  <c r="J25" i="11" s="1"/>
  <c r="F25" i="11"/>
  <c r="F23" i="11"/>
  <c r="K22" i="11"/>
  <c r="M22" i="11" s="1"/>
  <c r="I22" i="11"/>
  <c r="J22" i="11" s="1"/>
  <c r="F22" i="11"/>
  <c r="K21" i="11"/>
  <c r="M21" i="11" s="1"/>
  <c r="J21" i="11"/>
  <c r="I21" i="11"/>
  <c r="F21" i="11"/>
  <c r="K20" i="11"/>
  <c r="M20" i="11" s="1"/>
  <c r="I20" i="11"/>
  <c r="J20" i="11" s="1"/>
  <c r="F20" i="11"/>
  <c r="M19" i="11"/>
  <c r="K19" i="11"/>
  <c r="I19" i="11"/>
  <c r="J19" i="11" s="1"/>
  <c r="F19" i="11"/>
  <c r="K18" i="11"/>
  <c r="M18" i="11" s="1"/>
  <c r="I18" i="11"/>
  <c r="J18" i="11" s="1"/>
  <c r="F18" i="11"/>
  <c r="K17" i="11"/>
  <c r="M17" i="11" s="1"/>
  <c r="J17" i="11"/>
  <c r="I17" i="11"/>
  <c r="F17" i="11"/>
  <c r="L15" i="11"/>
  <c r="K14" i="11"/>
  <c r="M14" i="11" s="1"/>
  <c r="I14" i="11"/>
  <c r="J14" i="11" s="1"/>
  <c r="F14" i="11"/>
  <c r="M13" i="11"/>
  <c r="K13" i="11"/>
  <c r="I13" i="11"/>
  <c r="J13" i="11" s="1"/>
  <c r="F13" i="11"/>
  <c r="K12" i="11"/>
  <c r="I12" i="11"/>
  <c r="J12" i="11" s="1"/>
  <c r="F12" i="11"/>
  <c r="K122" i="13" l="1"/>
  <c r="I89" i="13"/>
  <c r="I102" i="13"/>
  <c r="F150" i="13"/>
  <c r="F151" i="13" s="1"/>
  <c r="F152" i="13" s="1"/>
  <c r="K102" i="13"/>
  <c r="D137" i="13"/>
  <c r="F137" i="13" s="1"/>
  <c r="K90" i="13"/>
  <c r="M90" i="13" s="1"/>
  <c r="F134" i="13"/>
  <c r="K89" i="13"/>
  <c r="M89" i="13" s="1"/>
  <c r="L129" i="13"/>
  <c r="M129" i="13" s="1"/>
  <c r="J94" i="13"/>
  <c r="K97" i="13"/>
  <c r="M97" i="13" s="1"/>
  <c r="F107" i="13"/>
  <c r="I103" i="13"/>
  <c r="J105" i="13"/>
  <c r="K113" i="13"/>
  <c r="M113" i="13" s="1"/>
  <c r="H136" i="13"/>
  <c r="H137" i="13"/>
  <c r="L145" i="13"/>
  <c r="F15" i="11"/>
  <c r="K41" i="11"/>
  <c r="M41" i="11" s="1"/>
  <c r="M30" i="11"/>
  <c r="K15" i="11"/>
  <c r="M15" i="11" s="1"/>
  <c r="F98" i="11"/>
  <c r="F264" i="11"/>
  <c r="F263" i="11"/>
  <c r="F289" i="11" s="1"/>
  <c r="K23" i="11"/>
  <c r="M23" i="11" s="1"/>
  <c r="M177" i="11"/>
  <c r="L186" i="11"/>
  <c r="M186" i="11" s="1"/>
  <c r="M134" i="11"/>
  <c r="K154" i="11"/>
  <c r="F160" i="11"/>
  <c r="F262" i="11" s="1"/>
  <c r="F265" i="11" s="1"/>
  <c r="F266" i="11" s="1"/>
  <c r="K159" i="11"/>
  <c r="L182" i="11"/>
  <c r="M182" i="11" s="1"/>
  <c r="K198" i="11"/>
  <c r="G200" i="11"/>
  <c r="L208" i="11"/>
  <c r="M208" i="11" s="1"/>
  <c r="L223" i="11"/>
  <c r="L244" i="11"/>
  <c r="M244" i="11" s="1"/>
  <c r="L250" i="11"/>
  <c r="M250" i="11" s="1"/>
  <c r="M253" i="11"/>
  <c r="M168" i="11"/>
  <c r="M181" i="11"/>
  <c r="M12" i="11"/>
  <c r="M153" i="11"/>
  <c r="M154" i="11" s="1"/>
  <c r="K199" i="11"/>
  <c r="M199" i="11" s="1"/>
  <c r="J207" i="11"/>
  <c r="L238" i="11"/>
  <c r="M238" i="11" s="1"/>
  <c r="M226" i="11"/>
  <c r="M190" i="11"/>
  <c r="I137" i="13" l="1"/>
  <c r="J137" i="13" s="1"/>
  <c r="L137" i="13"/>
  <c r="M137" i="13" s="1"/>
  <c r="M102" i="13"/>
  <c r="K107" i="13"/>
  <c r="M107" i="13" s="1"/>
  <c r="M122" i="13"/>
  <c r="I136" i="13"/>
  <c r="J136" i="13" s="1"/>
  <c r="L136" i="13"/>
  <c r="M145" i="13"/>
  <c r="M147" i="13" s="1"/>
  <c r="L147" i="13"/>
  <c r="F139" i="13"/>
  <c r="F148" i="13" s="1"/>
  <c r="E166" i="13" s="1"/>
  <c r="F307" i="11"/>
  <c r="F303" i="11"/>
  <c r="F308" i="11" s="1"/>
  <c r="F297" i="11"/>
  <c r="F293" i="11"/>
  <c r="F298" i="11"/>
  <c r="F296" i="11"/>
  <c r="F294" i="11"/>
  <c r="F295" i="11" s="1"/>
  <c r="F299" i="11"/>
  <c r="M223" i="11"/>
  <c r="M159" i="11"/>
  <c r="K160" i="11"/>
  <c r="I200" i="11"/>
  <c r="J200" i="11" s="1"/>
  <c r="K200" i="11"/>
  <c r="M200" i="11" s="1"/>
  <c r="L183" i="11"/>
  <c r="M183" i="11" s="1"/>
  <c r="M198" i="11"/>
  <c r="E176" i="13" l="1"/>
  <c r="E175" i="13"/>
  <c r="E174" i="13"/>
  <c r="E173" i="13"/>
  <c r="E171" i="13"/>
  <c r="E172" i="13" s="1"/>
  <c r="E170" i="13"/>
  <c r="M136" i="13"/>
  <c r="L139" i="13"/>
  <c r="K148" i="13"/>
  <c r="L263" i="11"/>
  <c r="L266" i="11" s="1"/>
  <c r="J289" i="11" s="1"/>
  <c r="K203" i="11"/>
  <c r="M160" i="11"/>
  <c r="K262" i="11"/>
  <c r="F300" i="11"/>
  <c r="F301" i="11" s="1"/>
  <c r="F310" i="11" s="1"/>
  <c r="H166" i="13" l="1"/>
  <c r="E182" i="13"/>
  <c r="E184" i="13" s="1"/>
  <c r="M139" i="13"/>
  <c r="L148" i="13"/>
  <c r="J166" i="13" s="1"/>
  <c r="K263" i="11"/>
  <c r="M263" i="11" s="1"/>
  <c r="M203" i="11"/>
  <c r="M262" i="11"/>
  <c r="K266" i="11"/>
  <c r="J299" i="11"/>
  <c r="J298" i="11"/>
  <c r="J297" i="11"/>
  <c r="J296" i="11"/>
  <c r="J294" i="11"/>
  <c r="J293" i="11"/>
  <c r="M148" i="13" l="1"/>
  <c r="J175" i="13"/>
  <c r="J173" i="13"/>
  <c r="J171" i="13"/>
  <c r="J172" i="13" s="1"/>
  <c r="J176" i="13"/>
  <c r="J174" i="13"/>
  <c r="J170" i="13"/>
  <c r="L166" i="13"/>
  <c r="H175" i="13"/>
  <c r="H173" i="13"/>
  <c r="H171" i="13"/>
  <c r="H176" i="13"/>
  <c r="L176" i="13" s="1"/>
  <c r="H174" i="13"/>
  <c r="L174" i="13" s="1"/>
  <c r="H170" i="13"/>
  <c r="M266" i="11"/>
  <c r="H289" i="11"/>
  <c r="J312" i="11"/>
  <c r="J300" i="11"/>
  <c r="J295" i="11"/>
  <c r="J313" i="11"/>
  <c r="L170" i="13" l="1"/>
  <c r="L171" i="13"/>
  <c r="H172" i="13"/>
  <c r="L172" i="13" s="1"/>
  <c r="L173" i="13"/>
  <c r="J182" i="13"/>
  <c r="J184" i="13" s="1"/>
  <c r="L175" i="13"/>
  <c r="J310" i="11"/>
  <c r="L289" i="11"/>
  <c r="H298" i="11"/>
  <c r="H296" i="11"/>
  <c r="L296" i="11" s="1"/>
  <c r="H294" i="11"/>
  <c r="H297" i="11"/>
  <c r="L297" i="11" s="1"/>
  <c r="H293" i="11"/>
  <c r="H299" i="11"/>
  <c r="J186" i="13" l="1"/>
  <c r="J188" i="13" s="1"/>
  <c r="H182" i="13"/>
  <c r="H184" i="13" s="1"/>
  <c r="L182" i="13"/>
  <c r="H313" i="11"/>
  <c r="L313" i="11" s="1"/>
  <c r="L299" i="11"/>
  <c r="J317" i="11"/>
  <c r="J314" i="11"/>
  <c r="J315" i="11" s="1"/>
  <c r="H295" i="11"/>
  <c r="L295" i="11" s="1"/>
  <c r="L294" i="11"/>
  <c r="H300" i="11"/>
  <c r="L293" i="11"/>
  <c r="H312" i="11"/>
  <c r="L298" i="11"/>
  <c r="H186" i="13" l="1"/>
  <c r="L184" i="13"/>
  <c r="H188" i="13"/>
  <c r="L188" i="13" s="1"/>
  <c r="H310" i="11"/>
  <c r="L300" i="11"/>
  <c r="L312" i="11"/>
  <c r="H314" i="11" l="1"/>
  <c r="L310" i="11"/>
  <c r="L314" i="11" l="1"/>
  <c r="H315" i="11"/>
  <c r="L315" i="11" l="1"/>
  <c r="H317" i="11"/>
  <c r="L317" i="11" s="1"/>
  <c r="E180" i="10" l="1"/>
  <c r="H149" i="10"/>
  <c r="I149" i="10" s="1"/>
  <c r="J149" i="10" s="1"/>
  <c r="E149" i="10"/>
  <c r="L149" i="10" s="1"/>
  <c r="L148" i="10"/>
  <c r="M148" i="10" s="1"/>
  <c r="I148" i="10"/>
  <c r="J148" i="10" s="1"/>
  <c r="F148" i="10"/>
  <c r="F141" i="10"/>
  <c r="F142" i="10" s="1"/>
  <c r="F138" i="10"/>
  <c r="F137" i="10"/>
  <c r="F136" i="10"/>
  <c r="F135" i="10"/>
  <c r="F139" i="10" s="1"/>
  <c r="F134" i="10"/>
  <c r="F133" i="10"/>
  <c r="F132" i="10"/>
  <c r="F129" i="10"/>
  <c r="F128" i="10"/>
  <c r="F127" i="10"/>
  <c r="F126" i="10"/>
  <c r="F130" i="10" s="1"/>
  <c r="F125" i="10"/>
  <c r="F124" i="10"/>
  <c r="F123" i="10"/>
  <c r="F120" i="10"/>
  <c r="F119" i="10"/>
  <c r="F118" i="10"/>
  <c r="F117" i="10"/>
  <c r="F116" i="10"/>
  <c r="F115" i="10"/>
  <c r="F114" i="10"/>
  <c r="F113" i="10"/>
  <c r="F121" i="10" s="1"/>
  <c r="F112" i="10"/>
  <c r="F109" i="10"/>
  <c r="F108" i="10"/>
  <c r="E107" i="10"/>
  <c r="F107" i="10" s="1"/>
  <c r="F106" i="10"/>
  <c r="F105" i="10"/>
  <c r="F110" i="10" s="1"/>
  <c r="F101" i="10"/>
  <c r="F100" i="10"/>
  <c r="F99" i="10"/>
  <c r="F98" i="10"/>
  <c r="F102" i="10" s="1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96" i="10" s="1"/>
  <c r="F73" i="10"/>
  <c r="F72" i="10"/>
  <c r="F71" i="10"/>
  <c r="F70" i="10"/>
  <c r="F69" i="10"/>
  <c r="F68" i="10"/>
  <c r="F74" i="10" s="1"/>
  <c r="F65" i="10"/>
  <c r="F64" i="10"/>
  <c r="F63" i="10"/>
  <c r="E63" i="10"/>
  <c r="E62" i="10"/>
  <c r="F62" i="10" s="1"/>
  <c r="F61" i="10"/>
  <c r="E61" i="10"/>
  <c r="E60" i="10"/>
  <c r="F60" i="10" s="1"/>
  <c r="F59" i="10"/>
  <c r="E59" i="10"/>
  <c r="E58" i="10"/>
  <c r="F58" i="10" s="1"/>
  <c r="F57" i="10"/>
  <c r="E57" i="10"/>
  <c r="E56" i="10"/>
  <c r="F56" i="10" s="1"/>
  <c r="E53" i="10"/>
  <c r="F53" i="10" s="1"/>
  <c r="F52" i="10"/>
  <c r="F51" i="10"/>
  <c r="F48" i="10"/>
  <c r="F47" i="10"/>
  <c r="F49" i="10" s="1"/>
  <c r="E43" i="10"/>
  <c r="F43" i="10" s="1"/>
  <c r="F44" i="10" s="1"/>
  <c r="L40" i="10"/>
  <c r="I40" i="10"/>
  <c r="J40" i="10" s="1"/>
  <c r="G40" i="10"/>
  <c r="E40" i="10"/>
  <c r="K40" i="10" s="1"/>
  <c r="M40" i="10" s="1"/>
  <c r="L39" i="10"/>
  <c r="I39" i="10"/>
  <c r="J39" i="10" s="1"/>
  <c r="F39" i="10"/>
  <c r="E39" i="10"/>
  <c r="K39" i="10" s="1"/>
  <c r="M39" i="10" s="1"/>
  <c r="H38" i="10"/>
  <c r="L38" i="10" s="1"/>
  <c r="G38" i="10"/>
  <c r="K38" i="10" s="1"/>
  <c r="M38" i="10" s="1"/>
  <c r="E38" i="10"/>
  <c r="F38" i="10" s="1"/>
  <c r="I37" i="10"/>
  <c r="J37" i="10" s="1"/>
  <c r="H37" i="10"/>
  <c r="L37" i="10" s="1"/>
  <c r="L41" i="10" s="1"/>
  <c r="G37" i="10"/>
  <c r="E37" i="10"/>
  <c r="K37" i="10" s="1"/>
  <c r="F34" i="10"/>
  <c r="E34" i="10"/>
  <c r="L33" i="10"/>
  <c r="L35" i="10" s="1"/>
  <c r="I33" i="10"/>
  <c r="J33" i="10" s="1"/>
  <c r="F33" i="10"/>
  <c r="E33" i="10"/>
  <c r="K33" i="10" s="1"/>
  <c r="J31" i="10"/>
  <c r="I31" i="10"/>
  <c r="E31" i="10"/>
  <c r="L31" i="10" s="1"/>
  <c r="L32" i="10" s="1"/>
  <c r="M32" i="10" s="1"/>
  <c r="E28" i="10"/>
  <c r="F28" i="10" s="1"/>
  <c r="F27" i="10"/>
  <c r="F29" i="10" s="1"/>
  <c r="G24" i="10"/>
  <c r="I24" i="10" s="1"/>
  <c r="J24" i="10" s="1"/>
  <c r="F24" i="10"/>
  <c r="E24" i="10"/>
  <c r="K24" i="10" s="1"/>
  <c r="M24" i="10" s="1"/>
  <c r="J23" i="10"/>
  <c r="I23" i="10"/>
  <c r="E23" i="10"/>
  <c r="K23" i="10" s="1"/>
  <c r="M23" i="10" s="1"/>
  <c r="I22" i="10"/>
  <c r="J22" i="10" s="1"/>
  <c r="G22" i="10"/>
  <c r="E22" i="10"/>
  <c r="K22" i="10" s="1"/>
  <c r="M22" i="10" s="1"/>
  <c r="G21" i="10"/>
  <c r="K21" i="10" s="1"/>
  <c r="F21" i="10"/>
  <c r="E21" i="10"/>
  <c r="E18" i="10"/>
  <c r="F18" i="10" s="1"/>
  <c r="I17" i="10"/>
  <c r="J17" i="10" s="1"/>
  <c r="F17" i="10"/>
  <c r="E17" i="10"/>
  <c r="K17" i="10" s="1"/>
  <c r="E16" i="10"/>
  <c r="F16" i="10" s="1"/>
  <c r="J14" i="10"/>
  <c r="I14" i="10"/>
  <c r="F14" i="10"/>
  <c r="E14" i="10"/>
  <c r="K14" i="10" s="1"/>
  <c r="H383" i="9"/>
  <c r="H382" i="9"/>
  <c r="H381" i="9"/>
  <c r="H380" i="9"/>
  <c r="H379" i="9"/>
  <c r="H378" i="9"/>
  <c r="H377" i="9"/>
  <c r="M360" i="9"/>
  <c r="L360" i="9"/>
  <c r="M359" i="9"/>
  <c r="K359" i="9"/>
  <c r="I359" i="9"/>
  <c r="J359" i="9" s="1"/>
  <c r="F359" i="9"/>
  <c r="K358" i="9"/>
  <c r="M358" i="9" s="1"/>
  <c r="J358" i="9"/>
  <c r="I358" i="9"/>
  <c r="F358" i="9"/>
  <c r="A358" i="9"/>
  <c r="A359" i="9" s="1"/>
  <c r="M357" i="9"/>
  <c r="K357" i="9"/>
  <c r="K360" i="9" s="1"/>
  <c r="I357" i="9"/>
  <c r="J357" i="9" s="1"/>
  <c r="F357" i="9"/>
  <c r="F360" i="9" s="1"/>
  <c r="A357" i="9"/>
  <c r="K355" i="9"/>
  <c r="L354" i="9"/>
  <c r="K354" i="9"/>
  <c r="M354" i="9" s="1"/>
  <c r="I354" i="9"/>
  <c r="C354" i="9"/>
  <c r="L353" i="9"/>
  <c r="K353" i="9"/>
  <c r="M353" i="9" s="1"/>
  <c r="I353" i="9"/>
  <c r="C353" i="9"/>
  <c r="L352" i="9"/>
  <c r="L355" i="9" s="1"/>
  <c r="K352" i="9"/>
  <c r="M352" i="9" s="1"/>
  <c r="M355" i="9" s="1"/>
  <c r="I352" i="9"/>
  <c r="C352" i="9"/>
  <c r="A352" i="9"/>
  <c r="A353" i="9" s="1"/>
  <c r="A354" i="9" s="1"/>
  <c r="L349" i="9"/>
  <c r="K349" i="9"/>
  <c r="M349" i="9" s="1"/>
  <c r="I349" i="9"/>
  <c r="C349" i="9"/>
  <c r="L348" i="9"/>
  <c r="L350" i="9" s="1"/>
  <c r="K348" i="9"/>
  <c r="I348" i="9"/>
  <c r="C348" i="9"/>
  <c r="A348" i="9"/>
  <c r="A349" i="9" s="1"/>
  <c r="K346" i="9"/>
  <c r="L345" i="9"/>
  <c r="K345" i="9"/>
  <c r="M345" i="9" s="1"/>
  <c r="I345" i="9"/>
  <c r="C345" i="9"/>
  <c r="L344" i="9"/>
  <c r="K344" i="9"/>
  <c r="M344" i="9" s="1"/>
  <c r="I344" i="9"/>
  <c r="C344" i="9"/>
  <c r="L343" i="9"/>
  <c r="L346" i="9" s="1"/>
  <c r="K343" i="9"/>
  <c r="M343" i="9" s="1"/>
  <c r="M346" i="9" s="1"/>
  <c r="I343" i="9"/>
  <c r="C343" i="9"/>
  <c r="A343" i="9"/>
  <c r="A344" i="9" s="1"/>
  <c r="A345" i="9" s="1"/>
  <c r="L340" i="9"/>
  <c r="K340" i="9"/>
  <c r="M340" i="9" s="1"/>
  <c r="I340" i="9"/>
  <c r="C340" i="9"/>
  <c r="L339" i="9"/>
  <c r="L341" i="9" s="1"/>
  <c r="K339" i="9"/>
  <c r="J339" i="9"/>
  <c r="I339" i="9"/>
  <c r="F339" i="9"/>
  <c r="A339" i="9"/>
  <c r="A340" i="9" s="1"/>
  <c r="L338" i="9"/>
  <c r="K338" i="9"/>
  <c r="M338" i="9" s="1"/>
  <c r="J338" i="9"/>
  <c r="I338" i="9"/>
  <c r="F338" i="9"/>
  <c r="A338" i="9"/>
  <c r="M337" i="9"/>
  <c r="L337" i="9"/>
  <c r="K337" i="9"/>
  <c r="I337" i="9"/>
  <c r="J337" i="9" s="1"/>
  <c r="F337" i="9"/>
  <c r="F341" i="9" s="1"/>
  <c r="A337" i="9"/>
  <c r="L334" i="9"/>
  <c r="I334" i="9"/>
  <c r="J334" i="9" s="1"/>
  <c r="F334" i="9"/>
  <c r="E334" i="9"/>
  <c r="K334" i="9" s="1"/>
  <c r="C334" i="9"/>
  <c r="L333" i="9"/>
  <c r="M333" i="9" s="1"/>
  <c r="K333" i="9"/>
  <c r="K335" i="9" s="1"/>
  <c r="J333" i="9"/>
  <c r="I333" i="9"/>
  <c r="F333" i="9"/>
  <c r="F335" i="9" s="1"/>
  <c r="C333" i="9"/>
  <c r="F325" i="9"/>
  <c r="L320" i="9"/>
  <c r="F320" i="9"/>
  <c r="L318" i="9"/>
  <c r="M318" i="9" s="1"/>
  <c r="K318" i="9"/>
  <c r="J318" i="9"/>
  <c r="I318" i="9"/>
  <c r="L317" i="9"/>
  <c r="K317" i="9"/>
  <c r="I317" i="9"/>
  <c r="J317" i="9" s="1"/>
  <c r="F315" i="9"/>
  <c r="F312" i="9"/>
  <c r="F306" i="9"/>
  <c r="F295" i="9"/>
  <c r="F280" i="9"/>
  <c r="F277" i="9"/>
  <c r="F273" i="9"/>
  <c r="F270" i="9"/>
  <c r="F265" i="9"/>
  <c r="F260" i="9"/>
  <c r="F252" i="9"/>
  <c r="F247" i="9"/>
  <c r="K244" i="9"/>
  <c r="F244" i="9"/>
  <c r="L243" i="9"/>
  <c r="M243" i="9" s="1"/>
  <c r="I243" i="9"/>
  <c r="J243" i="9" s="1"/>
  <c r="H243" i="9"/>
  <c r="H242" i="9"/>
  <c r="L241" i="9"/>
  <c r="M241" i="9" s="1"/>
  <c r="I241" i="9"/>
  <c r="J241" i="9" s="1"/>
  <c r="H241" i="9"/>
  <c r="H240" i="9"/>
  <c r="L239" i="9"/>
  <c r="M239" i="9" s="1"/>
  <c r="I239" i="9"/>
  <c r="J239" i="9" s="1"/>
  <c r="H239" i="9"/>
  <c r="K236" i="9"/>
  <c r="F236" i="9"/>
  <c r="H235" i="9"/>
  <c r="L234" i="9"/>
  <c r="M234" i="9" s="1"/>
  <c r="I234" i="9"/>
  <c r="J234" i="9" s="1"/>
  <c r="H234" i="9"/>
  <c r="H233" i="9"/>
  <c r="L232" i="9"/>
  <c r="M232" i="9" s="1"/>
  <c r="I232" i="9"/>
  <c r="J232" i="9" s="1"/>
  <c r="H232" i="9"/>
  <c r="H231" i="9"/>
  <c r="L230" i="9"/>
  <c r="M230" i="9" s="1"/>
  <c r="I230" i="9"/>
  <c r="J230" i="9" s="1"/>
  <c r="H230" i="9"/>
  <c r="H229" i="9"/>
  <c r="L228" i="9"/>
  <c r="M228" i="9" s="1"/>
  <c r="I228" i="9"/>
  <c r="J228" i="9" s="1"/>
  <c r="H228" i="9"/>
  <c r="H227" i="9"/>
  <c r="K225" i="9"/>
  <c r="F225" i="9"/>
  <c r="L224" i="9"/>
  <c r="M224" i="9" s="1"/>
  <c r="I224" i="9"/>
  <c r="J224" i="9" s="1"/>
  <c r="H224" i="9"/>
  <c r="H223" i="9"/>
  <c r="L222" i="9"/>
  <c r="M222" i="9" s="1"/>
  <c r="I222" i="9"/>
  <c r="J222" i="9" s="1"/>
  <c r="H222" i="9"/>
  <c r="H221" i="9"/>
  <c r="L219" i="9"/>
  <c r="M219" i="9" s="1"/>
  <c r="I219" i="9"/>
  <c r="J219" i="9" s="1"/>
  <c r="H219" i="9"/>
  <c r="H218" i="9"/>
  <c r="L217" i="9"/>
  <c r="M217" i="9" s="1"/>
  <c r="I217" i="9"/>
  <c r="J217" i="9" s="1"/>
  <c r="H217" i="9"/>
  <c r="H216" i="9"/>
  <c r="H215" i="9"/>
  <c r="H214" i="9"/>
  <c r="L213" i="9"/>
  <c r="I213" i="9"/>
  <c r="J213" i="9" s="1"/>
  <c r="H213" i="9"/>
  <c r="F210" i="9"/>
  <c r="F207" i="9"/>
  <c r="F203" i="9"/>
  <c r="F200" i="9"/>
  <c r="K195" i="9"/>
  <c r="F195" i="9"/>
  <c r="H194" i="9"/>
  <c r="H193" i="9"/>
  <c r="H192" i="9"/>
  <c r="K190" i="9"/>
  <c r="F190" i="9"/>
  <c r="L189" i="9"/>
  <c r="M189" i="9" s="1"/>
  <c r="J189" i="9"/>
  <c r="I189" i="9"/>
  <c r="H189" i="9"/>
  <c r="M188" i="9"/>
  <c r="L188" i="9"/>
  <c r="H188" i="9"/>
  <c r="I188" i="9" s="1"/>
  <c r="J188" i="9" s="1"/>
  <c r="M187" i="9"/>
  <c r="L187" i="9"/>
  <c r="H187" i="9"/>
  <c r="I187" i="9" s="1"/>
  <c r="J187" i="9" s="1"/>
  <c r="M186" i="9"/>
  <c r="H186" i="9"/>
  <c r="L186" i="9" s="1"/>
  <c r="L185" i="9"/>
  <c r="M185" i="9" s="1"/>
  <c r="J185" i="9"/>
  <c r="I185" i="9"/>
  <c r="H185" i="9"/>
  <c r="L184" i="9"/>
  <c r="L190" i="9" s="1"/>
  <c r="H184" i="9"/>
  <c r="I184" i="9" s="1"/>
  <c r="J184" i="9" s="1"/>
  <c r="K182" i="9"/>
  <c r="F182" i="9"/>
  <c r="M181" i="9"/>
  <c r="L181" i="9"/>
  <c r="H181" i="9"/>
  <c r="I181" i="9" s="1"/>
  <c r="J181" i="9" s="1"/>
  <c r="M180" i="9"/>
  <c r="H180" i="9"/>
  <c r="L180" i="9" s="1"/>
  <c r="L179" i="9"/>
  <c r="M179" i="9" s="1"/>
  <c r="M182" i="9" s="1"/>
  <c r="J179" i="9"/>
  <c r="I179" i="9"/>
  <c r="H179" i="9"/>
  <c r="K177" i="9"/>
  <c r="F177" i="9"/>
  <c r="L176" i="9"/>
  <c r="M176" i="9" s="1"/>
  <c r="M177" i="9" s="1"/>
  <c r="H176" i="9"/>
  <c r="I176" i="9" s="1"/>
  <c r="J176" i="9" s="1"/>
  <c r="K174" i="9"/>
  <c r="F174" i="9"/>
  <c r="C174" i="9"/>
  <c r="H173" i="9"/>
  <c r="L172" i="9"/>
  <c r="M172" i="9" s="1"/>
  <c r="I172" i="9"/>
  <c r="J172" i="9" s="1"/>
  <c r="H172" i="9"/>
  <c r="H171" i="9"/>
  <c r="H170" i="9"/>
  <c r="H169" i="9"/>
  <c r="K166" i="9"/>
  <c r="F166" i="9"/>
  <c r="L165" i="9"/>
  <c r="M165" i="9" s="1"/>
  <c r="J165" i="9"/>
  <c r="I165" i="9"/>
  <c r="H165" i="9"/>
  <c r="L164" i="9"/>
  <c r="M164" i="9" s="1"/>
  <c r="H164" i="9"/>
  <c r="I164" i="9" s="1"/>
  <c r="J164" i="9" s="1"/>
  <c r="H163" i="9"/>
  <c r="I163" i="9" s="1"/>
  <c r="J163" i="9" s="1"/>
  <c r="M162" i="9"/>
  <c r="I162" i="9"/>
  <c r="J162" i="9" s="1"/>
  <c r="H162" i="9"/>
  <c r="L162" i="9" s="1"/>
  <c r="L161" i="9"/>
  <c r="M161" i="9" s="1"/>
  <c r="I161" i="9"/>
  <c r="J161" i="9" s="1"/>
  <c r="H161" i="9"/>
  <c r="L160" i="9"/>
  <c r="M160" i="9" s="1"/>
  <c r="H160" i="9"/>
  <c r="I160" i="9" s="1"/>
  <c r="J160" i="9" s="1"/>
  <c r="H159" i="9"/>
  <c r="I159" i="9" s="1"/>
  <c r="J159" i="9" s="1"/>
  <c r="M158" i="9"/>
  <c r="H158" i="9"/>
  <c r="L158" i="9" s="1"/>
  <c r="L157" i="9"/>
  <c r="M157" i="9" s="1"/>
  <c r="J157" i="9"/>
  <c r="I157" i="9"/>
  <c r="H157" i="9"/>
  <c r="K155" i="9"/>
  <c r="F155" i="9"/>
  <c r="L154" i="9"/>
  <c r="M154" i="9" s="1"/>
  <c r="H154" i="9"/>
  <c r="I154" i="9" s="1"/>
  <c r="J154" i="9" s="1"/>
  <c r="H153" i="9"/>
  <c r="I153" i="9" s="1"/>
  <c r="J153" i="9" s="1"/>
  <c r="M152" i="9"/>
  <c r="H152" i="9"/>
  <c r="L152" i="9" s="1"/>
  <c r="L151" i="9"/>
  <c r="M151" i="9" s="1"/>
  <c r="J151" i="9"/>
  <c r="I151" i="9"/>
  <c r="H151" i="9"/>
  <c r="L149" i="9"/>
  <c r="M149" i="9" s="1"/>
  <c r="J149" i="9"/>
  <c r="H149" i="9"/>
  <c r="I149" i="9" s="1"/>
  <c r="H148" i="9"/>
  <c r="I148" i="9" s="1"/>
  <c r="J148" i="9" s="1"/>
  <c r="H147" i="9"/>
  <c r="L147" i="9" s="1"/>
  <c r="M147" i="9" s="1"/>
  <c r="L146" i="9"/>
  <c r="M146" i="9" s="1"/>
  <c r="I146" i="9"/>
  <c r="J146" i="9" s="1"/>
  <c r="H146" i="9"/>
  <c r="L145" i="9"/>
  <c r="M145" i="9" s="1"/>
  <c r="H145" i="9"/>
  <c r="I145" i="9" s="1"/>
  <c r="J145" i="9" s="1"/>
  <c r="L144" i="9"/>
  <c r="M144" i="9" s="1"/>
  <c r="H144" i="9"/>
  <c r="I144" i="9" s="1"/>
  <c r="J144" i="9" s="1"/>
  <c r="H143" i="9"/>
  <c r="L143" i="9" s="1"/>
  <c r="F140" i="9"/>
  <c r="F137" i="9"/>
  <c r="F133" i="9"/>
  <c r="F130" i="9"/>
  <c r="K125" i="9"/>
  <c r="F125" i="9"/>
  <c r="L124" i="9"/>
  <c r="M124" i="9" s="1"/>
  <c r="M123" i="9"/>
  <c r="L123" i="9"/>
  <c r="L122" i="9"/>
  <c r="M122" i="9" s="1"/>
  <c r="L120" i="9"/>
  <c r="K120" i="9"/>
  <c r="F120" i="9"/>
  <c r="L119" i="9"/>
  <c r="M119" i="9" s="1"/>
  <c r="L118" i="9"/>
  <c r="M118" i="9" s="1"/>
  <c r="L117" i="9"/>
  <c r="M117" i="9" s="1"/>
  <c r="M120" i="9" s="1"/>
  <c r="L116" i="9"/>
  <c r="M116" i="9" s="1"/>
  <c r="L115" i="9"/>
  <c r="M115" i="9" s="1"/>
  <c r="L114" i="9"/>
  <c r="M114" i="9" s="1"/>
  <c r="K112" i="9"/>
  <c r="F112" i="9"/>
  <c r="H111" i="9"/>
  <c r="I111" i="9" s="1"/>
  <c r="J111" i="9" s="1"/>
  <c r="M110" i="9"/>
  <c r="I110" i="9"/>
  <c r="J110" i="9" s="1"/>
  <c r="H110" i="9"/>
  <c r="L110" i="9" s="1"/>
  <c r="L109" i="9"/>
  <c r="M109" i="9" s="1"/>
  <c r="I109" i="9"/>
  <c r="J109" i="9" s="1"/>
  <c r="H109" i="9"/>
  <c r="L107" i="9"/>
  <c r="K107" i="9"/>
  <c r="F107" i="9"/>
  <c r="L106" i="9"/>
  <c r="M106" i="9" s="1"/>
  <c r="M107" i="9" s="1"/>
  <c r="H106" i="9"/>
  <c r="I106" i="9" s="1"/>
  <c r="J106" i="9" s="1"/>
  <c r="K104" i="9"/>
  <c r="F104" i="9"/>
  <c r="H103" i="9"/>
  <c r="I103" i="9" s="1"/>
  <c r="J103" i="9" s="1"/>
  <c r="M102" i="9"/>
  <c r="I102" i="9"/>
  <c r="J102" i="9" s="1"/>
  <c r="H102" i="9"/>
  <c r="L102" i="9" s="1"/>
  <c r="H101" i="9"/>
  <c r="L101" i="9" s="1"/>
  <c r="L100" i="9"/>
  <c r="M100" i="9" s="1"/>
  <c r="I100" i="9"/>
  <c r="J100" i="9" s="1"/>
  <c r="L99" i="9"/>
  <c r="M99" i="9" s="1"/>
  <c r="J99" i="9"/>
  <c r="I99" i="9"/>
  <c r="K96" i="9"/>
  <c r="F96" i="9"/>
  <c r="L95" i="9"/>
  <c r="M95" i="9" s="1"/>
  <c r="I95" i="9"/>
  <c r="J95" i="9" s="1"/>
  <c r="L94" i="9"/>
  <c r="M94" i="9" s="1"/>
  <c r="J94" i="9"/>
  <c r="I94" i="9"/>
  <c r="L93" i="9"/>
  <c r="M93" i="9" s="1"/>
  <c r="I93" i="9"/>
  <c r="J93" i="9" s="1"/>
  <c r="L92" i="9"/>
  <c r="M92" i="9" s="1"/>
  <c r="I92" i="9"/>
  <c r="J92" i="9" s="1"/>
  <c r="L91" i="9"/>
  <c r="M91" i="9" s="1"/>
  <c r="I91" i="9"/>
  <c r="J91" i="9" s="1"/>
  <c r="L90" i="9"/>
  <c r="M90" i="9" s="1"/>
  <c r="J90" i="9"/>
  <c r="I90" i="9"/>
  <c r="L89" i="9"/>
  <c r="M89" i="9" s="1"/>
  <c r="I89" i="9"/>
  <c r="J89" i="9" s="1"/>
  <c r="L88" i="9"/>
  <c r="M88" i="9" s="1"/>
  <c r="I88" i="9"/>
  <c r="J88" i="9" s="1"/>
  <c r="L87" i="9"/>
  <c r="M87" i="9" s="1"/>
  <c r="M96" i="9" s="1"/>
  <c r="I87" i="9"/>
  <c r="J87" i="9" s="1"/>
  <c r="K85" i="9"/>
  <c r="F85" i="9"/>
  <c r="L84" i="9"/>
  <c r="M84" i="9" s="1"/>
  <c r="I84" i="9"/>
  <c r="J84" i="9" s="1"/>
  <c r="H84" i="9"/>
  <c r="L83" i="9"/>
  <c r="M83" i="9" s="1"/>
  <c r="H83" i="9"/>
  <c r="I83" i="9" s="1"/>
  <c r="J83" i="9" s="1"/>
  <c r="H82" i="9"/>
  <c r="I82" i="9" s="1"/>
  <c r="J82" i="9" s="1"/>
  <c r="M81" i="9"/>
  <c r="I81" i="9"/>
  <c r="J81" i="9" s="1"/>
  <c r="H81" i="9"/>
  <c r="L81" i="9" s="1"/>
  <c r="L80" i="9"/>
  <c r="M80" i="9" s="1"/>
  <c r="I80" i="9"/>
  <c r="J80" i="9" s="1"/>
  <c r="H80" i="9"/>
  <c r="L78" i="9"/>
  <c r="M78" i="9" s="1"/>
  <c r="H78" i="9"/>
  <c r="I78" i="9" s="1"/>
  <c r="J78" i="9" s="1"/>
  <c r="H77" i="9"/>
  <c r="I77" i="9" s="1"/>
  <c r="J77" i="9" s="1"/>
  <c r="M76" i="9"/>
  <c r="H76" i="9"/>
  <c r="L76" i="9" s="1"/>
  <c r="L75" i="9"/>
  <c r="M75" i="9" s="1"/>
  <c r="J75" i="9"/>
  <c r="I75" i="9"/>
  <c r="L74" i="9"/>
  <c r="M74" i="9" s="1"/>
  <c r="I74" i="9"/>
  <c r="J74" i="9" s="1"/>
  <c r="L73" i="9"/>
  <c r="M73" i="9" s="1"/>
  <c r="I73" i="9"/>
  <c r="J73" i="9" s="1"/>
  <c r="F69" i="9"/>
  <c r="F66" i="9"/>
  <c r="F62" i="9"/>
  <c r="K59" i="9"/>
  <c r="F59" i="9"/>
  <c r="H58" i="9"/>
  <c r="L58" i="9" s="1"/>
  <c r="M58" i="9" s="1"/>
  <c r="L57" i="9"/>
  <c r="M57" i="9" s="1"/>
  <c r="I57" i="9"/>
  <c r="J57" i="9" s="1"/>
  <c r="H57" i="9"/>
  <c r="L56" i="9"/>
  <c r="H56" i="9"/>
  <c r="I56" i="9" s="1"/>
  <c r="J56" i="9" s="1"/>
  <c r="K54" i="9"/>
  <c r="F54" i="9"/>
  <c r="H53" i="9"/>
  <c r="I53" i="9" s="1"/>
  <c r="J53" i="9" s="1"/>
  <c r="M52" i="9"/>
  <c r="I52" i="9"/>
  <c r="J52" i="9" s="1"/>
  <c r="H52" i="9"/>
  <c r="L52" i="9" s="1"/>
  <c r="L51" i="9"/>
  <c r="M51" i="9" s="1"/>
  <c r="I51" i="9"/>
  <c r="J51" i="9" s="1"/>
  <c r="H51" i="9"/>
  <c r="K49" i="9"/>
  <c r="F49" i="9"/>
  <c r="L48" i="9"/>
  <c r="M48" i="9" s="1"/>
  <c r="H48" i="9"/>
  <c r="I48" i="9" s="1"/>
  <c r="J48" i="9" s="1"/>
  <c r="H47" i="9"/>
  <c r="I47" i="9" s="1"/>
  <c r="J47" i="9" s="1"/>
  <c r="M46" i="9"/>
  <c r="I46" i="9"/>
  <c r="J46" i="9" s="1"/>
  <c r="H46" i="9"/>
  <c r="L46" i="9" s="1"/>
  <c r="L45" i="9"/>
  <c r="M45" i="9" s="1"/>
  <c r="I45" i="9"/>
  <c r="J45" i="9" s="1"/>
  <c r="H45" i="9"/>
  <c r="L44" i="9"/>
  <c r="M44" i="9" s="1"/>
  <c r="H44" i="9"/>
  <c r="I44" i="9" s="1"/>
  <c r="J44" i="9" s="1"/>
  <c r="H43" i="9"/>
  <c r="I43" i="9" s="1"/>
  <c r="J43" i="9" s="1"/>
  <c r="K41" i="9"/>
  <c r="F41" i="9"/>
  <c r="M40" i="9"/>
  <c r="I40" i="9"/>
  <c r="J40" i="9" s="1"/>
  <c r="H40" i="9"/>
  <c r="L40" i="9" s="1"/>
  <c r="L39" i="9"/>
  <c r="M39" i="9" s="1"/>
  <c r="I39" i="9"/>
  <c r="J39" i="9" s="1"/>
  <c r="H39" i="9"/>
  <c r="L38" i="9"/>
  <c r="H38" i="9"/>
  <c r="I38" i="9" s="1"/>
  <c r="J38" i="9" s="1"/>
  <c r="K36" i="9"/>
  <c r="F36" i="9"/>
  <c r="L35" i="9"/>
  <c r="M35" i="9" s="1"/>
  <c r="M36" i="9" s="1"/>
  <c r="I35" i="9"/>
  <c r="J35" i="9" s="1"/>
  <c r="L33" i="9"/>
  <c r="K33" i="9"/>
  <c r="F33" i="9"/>
  <c r="C33" i="9"/>
  <c r="M32" i="9"/>
  <c r="L32" i="9"/>
  <c r="I32" i="9"/>
  <c r="J32" i="9" s="1"/>
  <c r="M31" i="9"/>
  <c r="L31" i="9"/>
  <c r="I31" i="9"/>
  <c r="J31" i="9" s="1"/>
  <c r="M30" i="9"/>
  <c r="L30" i="9"/>
  <c r="I30" i="9"/>
  <c r="J30" i="9" s="1"/>
  <c r="M29" i="9"/>
  <c r="L29" i="9"/>
  <c r="I29" i="9"/>
  <c r="J29" i="9" s="1"/>
  <c r="M28" i="9"/>
  <c r="L28" i="9"/>
  <c r="I28" i="9"/>
  <c r="J28" i="9" s="1"/>
  <c r="M27" i="9"/>
  <c r="M33" i="9" s="1"/>
  <c r="L27" i="9"/>
  <c r="I27" i="9"/>
  <c r="J27" i="9" s="1"/>
  <c r="M26" i="9"/>
  <c r="L26" i="9"/>
  <c r="I26" i="9"/>
  <c r="J26" i="9" s="1"/>
  <c r="K23" i="9"/>
  <c r="F23" i="9"/>
  <c r="H22" i="9"/>
  <c r="L22" i="9" s="1"/>
  <c r="L23" i="9" s="1"/>
  <c r="K20" i="9"/>
  <c r="F20" i="9"/>
  <c r="L19" i="9"/>
  <c r="M19" i="9" s="1"/>
  <c r="I19" i="9"/>
  <c r="J19" i="9" s="1"/>
  <c r="H19" i="9"/>
  <c r="L18" i="9"/>
  <c r="M18" i="9" s="1"/>
  <c r="H18" i="9"/>
  <c r="I18" i="9" s="1"/>
  <c r="J18" i="9" s="1"/>
  <c r="H17" i="9"/>
  <c r="I17" i="9" s="1"/>
  <c r="J17" i="9" s="1"/>
  <c r="K15" i="9"/>
  <c r="F15" i="9"/>
  <c r="M14" i="9"/>
  <c r="L14" i="9"/>
  <c r="I14" i="9"/>
  <c r="J14" i="9" s="1"/>
  <c r="H13" i="9"/>
  <c r="L13" i="9" s="1"/>
  <c r="M13" i="9" s="1"/>
  <c r="L12" i="9"/>
  <c r="M12" i="9" s="1"/>
  <c r="I12" i="9"/>
  <c r="J12" i="9" s="1"/>
  <c r="H12" i="9"/>
  <c r="L11" i="9"/>
  <c r="J11" i="9"/>
  <c r="I11" i="9"/>
  <c r="K15" i="10" l="1"/>
  <c r="M15" i="10" s="1"/>
  <c r="M14" i="10"/>
  <c r="F19" i="10"/>
  <c r="K19" i="10"/>
  <c r="M19" i="10" s="1"/>
  <c r="M17" i="10"/>
  <c r="F66" i="10"/>
  <c r="M149" i="10"/>
  <c r="L152" i="10"/>
  <c r="K41" i="10"/>
  <c r="M37" i="10"/>
  <c r="F25" i="10"/>
  <c r="K35" i="10"/>
  <c r="M35" i="10" s="1"/>
  <c r="M33" i="10"/>
  <c r="L143" i="10"/>
  <c r="L151" i="10" s="1"/>
  <c r="F54" i="10"/>
  <c r="M21" i="10"/>
  <c r="M25" i="10" s="1"/>
  <c r="K25" i="10"/>
  <c r="F153" i="10"/>
  <c r="I21" i="10"/>
  <c r="J21" i="10" s="1"/>
  <c r="F23" i="10"/>
  <c r="F31" i="10"/>
  <c r="F35" i="10" s="1"/>
  <c r="F37" i="10"/>
  <c r="I38" i="10"/>
  <c r="J38" i="10" s="1"/>
  <c r="F149" i="10"/>
  <c r="F150" i="10" s="1"/>
  <c r="F152" i="10" s="1"/>
  <c r="F22" i="10"/>
  <c r="F40" i="10"/>
  <c r="L54" i="9"/>
  <c r="L166" i="9"/>
  <c r="L177" i="9"/>
  <c r="I221" i="9"/>
  <c r="J221" i="9" s="1"/>
  <c r="L221" i="9"/>
  <c r="M221" i="9" s="1"/>
  <c r="J353" i="9"/>
  <c r="F353" i="9"/>
  <c r="I143" i="9"/>
  <c r="J143" i="9" s="1"/>
  <c r="L193" i="9"/>
  <c r="M193" i="9" s="1"/>
  <c r="I193" i="9"/>
  <c r="J193" i="9" s="1"/>
  <c r="L240" i="9"/>
  <c r="I240" i="9"/>
  <c r="J240" i="9" s="1"/>
  <c r="J344" i="9"/>
  <c r="F344" i="9"/>
  <c r="J345" i="9"/>
  <c r="F345" i="9"/>
  <c r="M348" i="9"/>
  <c r="M350" i="9" s="1"/>
  <c r="K350" i="9"/>
  <c r="K361" i="9" s="1"/>
  <c r="M361" i="9" s="1"/>
  <c r="L17" i="9"/>
  <c r="I22" i="9"/>
  <c r="J22" i="9" s="1"/>
  <c r="L36" i="9"/>
  <c r="L41" i="9"/>
  <c r="M38" i="9"/>
  <c r="M41" i="9" s="1"/>
  <c r="L43" i="9"/>
  <c r="M43" i="9" s="1"/>
  <c r="L77" i="9"/>
  <c r="M77" i="9" s="1"/>
  <c r="I101" i="9"/>
  <c r="J101" i="9" s="1"/>
  <c r="M125" i="9"/>
  <c r="M143" i="9"/>
  <c r="I147" i="9"/>
  <c r="J147" i="9" s="1"/>
  <c r="L153" i="9"/>
  <c r="M153" i="9" s="1"/>
  <c r="L159" i="9"/>
  <c r="M159" i="9" s="1"/>
  <c r="M166" i="9" s="1"/>
  <c r="L182" i="9"/>
  <c r="M184" i="9"/>
  <c r="M190" i="9" s="1"/>
  <c r="M213" i="9"/>
  <c r="I216" i="9"/>
  <c r="J216" i="9" s="1"/>
  <c r="L216" i="9"/>
  <c r="M216" i="9" s="1"/>
  <c r="L229" i="9"/>
  <c r="M229" i="9" s="1"/>
  <c r="I229" i="9"/>
  <c r="J229" i="9" s="1"/>
  <c r="K320" i="9"/>
  <c r="M317" i="9"/>
  <c r="M320" i="9" s="1"/>
  <c r="M339" i="9"/>
  <c r="K341" i="9"/>
  <c r="L173" i="9"/>
  <c r="M173" i="9" s="1"/>
  <c r="I173" i="9"/>
  <c r="J173" i="9" s="1"/>
  <c r="L233" i="9"/>
  <c r="M233" i="9" s="1"/>
  <c r="I233" i="9"/>
  <c r="J233" i="9" s="1"/>
  <c r="J352" i="9"/>
  <c r="F352" i="9"/>
  <c r="F355" i="9" s="1"/>
  <c r="J354" i="9"/>
  <c r="F354" i="9"/>
  <c r="I13" i="9"/>
  <c r="J13" i="9" s="1"/>
  <c r="I58" i="9"/>
  <c r="J58" i="9" s="1"/>
  <c r="L148" i="9"/>
  <c r="M148" i="9" s="1"/>
  <c r="L170" i="9"/>
  <c r="M170" i="9" s="1"/>
  <c r="I170" i="9"/>
  <c r="J170" i="9" s="1"/>
  <c r="L215" i="9"/>
  <c r="M215" i="9" s="1"/>
  <c r="I215" i="9"/>
  <c r="J215" i="9" s="1"/>
  <c r="J343" i="9"/>
  <c r="F343" i="9"/>
  <c r="L15" i="9"/>
  <c r="M11" i="9"/>
  <c r="K326" i="9"/>
  <c r="M22" i="9"/>
  <c r="M23" i="9" s="1"/>
  <c r="L47" i="9"/>
  <c r="L53" i="9"/>
  <c r="M53" i="9" s="1"/>
  <c r="M54" i="9" s="1"/>
  <c r="L59" i="9"/>
  <c r="M56" i="9"/>
  <c r="M59" i="9" s="1"/>
  <c r="M85" i="9"/>
  <c r="I76" i="9"/>
  <c r="J76" i="9" s="1"/>
  <c r="L82" i="9"/>
  <c r="M82" i="9" s="1"/>
  <c r="L103" i="9"/>
  <c r="M103" i="9" s="1"/>
  <c r="M104" i="9" s="1"/>
  <c r="L111" i="9"/>
  <c r="M111" i="9" s="1"/>
  <c r="M112" i="9" s="1"/>
  <c r="I152" i="9"/>
  <c r="J152" i="9" s="1"/>
  <c r="I158" i="9"/>
  <c r="J158" i="9" s="1"/>
  <c r="L163" i="9"/>
  <c r="M163" i="9" s="1"/>
  <c r="L169" i="9"/>
  <c r="I169" i="9"/>
  <c r="J169" i="9" s="1"/>
  <c r="I171" i="9"/>
  <c r="J171" i="9" s="1"/>
  <c r="L171" i="9"/>
  <c r="M171" i="9" s="1"/>
  <c r="L192" i="9"/>
  <c r="I192" i="9"/>
  <c r="J192" i="9" s="1"/>
  <c r="I194" i="9"/>
  <c r="J194" i="9" s="1"/>
  <c r="L194" i="9"/>
  <c r="M194" i="9" s="1"/>
  <c r="L214" i="9"/>
  <c r="M214" i="9" s="1"/>
  <c r="I214" i="9"/>
  <c r="J214" i="9" s="1"/>
  <c r="M341" i="9"/>
  <c r="L96" i="9"/>
  <c r="L125" i="9"/>
  <c r="L218" i="9"/>
  <c r="M218" i="9" s="1"/>
  <c r="I218" i="9"/>
  <c r="J218" i="9" s="1"/>
  <c r="L223" i="9"/>
  <c r="M223" i="9" s="1"/>
  <c r="I223" i="9"/>
  <c r="J223" i="9" s="1"/>
  <c r="I242" i="9"/>
  <c r="J242" i="9" s="1"/>
  <c r="L242" i="9"/>
  <c r="M242" i="9" s="1"/>
  <c r="J340" i="9"/>
  <c r="F340" i="9"/>
  <c r="J348" i="9"/>
  <c r="F348" i="9"/>
  <c r="J349" i="9"/>
  <c r="F349" i="9"/>
  <c r="H390" i="9"/>
  <c r="H392" i="9" s="1"/>
  <c r="F326" i="9"/>
  <c r="E373" i="9" s="1"/>
  <c r="I180" i="9"/>
  <c r="J180" i="9" s="1"/>
  <c r="I186" i="9"/>
  <c r="J186" i="9" s="1"/>
  <c r="I227" i="9"/>
  <c r="J227" i="9" s="1"/>
  <c r="L227" i="9"/>
  <c r="I231" i="9"/>
  <c r="J231" i="9" s="1"/>
  <c r="L231" i="9"/>
  <c r="M231" i="9" s="1"/>
  <c r="I235" i="9"/>
  <c r="J235" i="9" s="1"/>
  <c r="L235" i="9"/>
  <c r="M235" i="9" s="1"/>
  <c r="M334" i="9"/>
  <c r="M335" i="9" s="1"/>
  <c r="L335" i="9"/>
  <c r="L361" i="9" s="1"/>
  <c r="F41" i="10" l="1"/>
  <c r="F143" i="10" s="1"/>
  <c r="F151" i="10" s="1"/>
  <c r="F154" i="10" s="1"/>
  <c r="F155" i="10" s="1"/>
  <c r="F169" i="10" s="1"/>
  <c r="K143" i="10"/>
  <c r="M41" i="10"/>
  <c r="L155" i="10"/>
  <c r="M152" i="10"/>
  <c r="L195" i="9"/>
  <c r="M192" i="9"/>
  <c r="M195" i="9" s="1"/>
  <c r="M169" i="9"/>
  <c r="M174" i="9" s="1"/>
  <c r="L174" i="9"/>
  <c r="L49" i="9"/>
  <c r="M47" i="9"/>
  <c r="M49" i="9" s="1"/>
  <c r="F346" i="9"/>
  <c r="M155" i="9"/>
  <c r="L112" i="9"/>
  <c r="L155" i="9"/>
  <c r="H394" i="9"/>
  <c r="M225" i="9"/>
  <c r="L236" i="9"/>
  <c r="M227" i="9"/>
  <c r="M236" i="9" s="1"/>
  <c r="E385" i="9"/>
  <c r="E383" i="9"/>
  <c r="E382" i="9"/>
  <c r="E381" i="9"/>
  <c r="E380" i="9"/>
  <c r="E378" i="9"/>
  <c r="E379" i="9" s="1"/>
  <c r="E377" i="9"/>
  <c r="E390" i="9" s="1"/>
  <c r="E392" i="9" s="1"/>
  <c r="F350" i="9"/>
  <c r="L85" i="9"/>
  <c r="M15" i="9"/>
  <c r="L225" i="9"/>
  <c r="L20" i="9"/>
  <c r="L326" i="9" s="1"/>
  <c r="J373" i="9" s="1"/>
  <c r="M17" i="9"/>
  <c r="M20" i="9" s="1"/>
  <c r="L244" i="9"/>
  <c r="M240" i="9"/>
  <c r="M244" i="9" s="1"/>
  <c r="L104" i="9"/>
  <c r="F178" i="10" l="1"/>
  <c r="F177" i="10"/>
  <c r="F175" i="10"/>
  <c r="F173" i="10"/>
  <c r="F174" i="10" s="1"/>
  <c r="F179" i="10"/>
  <c r="F176" i="10"/>
  <c r="F172" i="10"/>
  <c r="F180" i="10" s="1"/>
  <c r="F182" i="10" s="1"/>
  <c r="M143" i="10"/>
  <c r="K151" i="10"/>
  <c r="M155" i="10"/>
  <c r="J169" i="10"/>
  <c r="L373" i="9"/>
  <c r="J383" i="9"/>
  <c r="L383" i="9" s="1"/>
  <c r="J382" i="9"/>
  <c r="L382" i="9" s="1"/>
  <c r="J381" i="9"/>
  <c r="L381" i="9" s="1"/>
  <c r="J380" i="9"/>
  <c r="L380" i="9" s="1"/>
  <c r="J378" i="9"/>
  <c r="J377" i="9"/>
  <c r="M326" i="9"/>
  <c r="M151" i="10" l="1"/>
  <c r="H169" i="10"/>
  <c r="J179" i="10"/>
  <c r="J177" i="10"/>
  <c r="J176" i="10"/>
  <c r="J175" i="10"/>
  <c r="J173" i="10"/>
  <c r="J174" i="10" s="1"/>
  <c r="J172" i="10"/>
  <c r="J182" i="10" s="1"/>
  <c r="J184" i="10" s="1"/>
  <c r="L378" i="9"/>
  <c r="J379" i="9"/>
  <c r="L379" i="9" s="1"/>
  <c r="J390" i="9"/>
  <c r="J392" i="9" s="1"/>
  <c r="L377" i="9"/>
  <c r="L390" i="9" s="1"/>
  <c r="J189" i="10" l="1"/>
  <c r="J191" i="10"/>
  <c r="L169" i="10"/>
  <c r="H179" i="10"/>
  <c r="L179" i="10" s="1"/>
  <c r="H177" i="10"/>
  <c r="L177" i="10" s="1"/>
  <c r="H176" i="10"/>
  <c r="L176" i="10" s="1"/>
  <c r="H175" i="10"/>
  <c r="L175" i="10" s="1"/>
  <c r="H173" i="10"/>
  <c r="H172" i="10"/>
  <c r="J394" i="9"/>
  <c r="L394" i="9" s="1"/>
  <c r="L392" i="9"/>
  <c r="L173" i="10" l="1"/>
  <c r="H174" i="10"/>
  <c r="L174" i="10" s="1"/>
  <c r="L172" i="10"/>
  <c r="H182" i="10"/>
  <c r="J396" i="9"/>
  <c r="H184" i="10" l="1"/>
  <c r="L182" i="10"/>
  <c r="H189" i="10" l="1"/>
  <c r="L189" i="10" s="1"/>
  <c r="H191" i="10"/>
  <c r="L191" i="10" s="1"/>
  <c r="L184" i="10"/>
  <c r="E190" i="8" l="1"/>
  <c r="I108" i="8"/>
  <c r="F108" i="8"/>
  <c r="J107" i="8"/>
  <c r="I107" i="8"/>
  <c r="L107" i="8" s="1"/>
  <c r="M107" i="8" s="1"/>
  <c r="F107" i="8"/>
  <c r="L106" i="8"/>
  <c r="M106" i="8" s="1"/>
  <c r="J106" i="8"/>
  <c r="I106" i="8"/>
  <c r="F106" i="8"/>
  <c r="L105" i="8"/>
  <c r="M105" i="8" s="1"/>
  <c r="I105" i="8"/>
  <c r="J105" i="8" s="1"/>
  <c r="F105" i="8"/>
  <c r="I104" i="8"/>
  <c r="F104" i="8"/>
  <c r="I103" i="8"/>
  <c r="L103" i="8" s="1"/>
  <c r="M103" i="8" s="1"/>
  <c r="F103" i="8"/>
  <c r="L102" i="8"/>
  <c r="M102" i="8" s="1"/>
  <c r="J102" i="8"/>
  <c r="I102" i="8"/>
  <c r="F102" i="8"/>
  <c r="L101" i="8"/>
  <c r="M101" i="8" s="1"/>
  <c r="I101" i="8"/>
  <c r="J101" i="8" s="1"/>
  <c r="F101" i="8"/>
  <c r="F109" i="8" s="1"/>
  <c r="I100" i="8"/>
  <c r="F100" i="8"/>
  <c r="J99" i="8"/>
  <c r="I99" i="8"/>
  <c r="L99" i="8" s="1"/>
  <c r="F99" i="8"/>
  <c r="K96" i="8"/>
  <c r="M96" i="8" s="1"/>
  <c r="I96" i="8"/>
  <c r="J96" i="8" s="1"/>
  <c r="F96" i="8"/>
  <c r="K95" i="8"/>
  <c r="M95" i="8" s="1"/>
  <c r="J95" i="8"/>
  <c r="I95" i="8"/>
  <c r="F95" i="8"/>
  <c r="K94" i="8"/>
  <c r="I94" i="8"/>
  <c r="J94" i="8" s="1"/>
  <c r="F94" i="8"/>
  <c r="K93" i="8"/>
  <c r="I93" i="8"/>
  <c r="J93" i="8" s="1"/>
  <c r="F93" i="8"/>
  <c r="F97" i="8" s="1"/>
  <c r="K92" i="8"/>
  <c r="I92" i="8"/>
  <c r="J92" i="8" s="1"/>
  <c r="F92" i="8"/>
  <c r="K91" i="8"/>
  <c r="M91" i="8" s="1"/>
  <c r="J91" i="8"/>
  <c r="I91" i="8"/>
  <c r="F91" i="8"/>
  <c r="K90" i="8"/>
  <c r="I90" i="8"/>
  <c r="F90" i="8"/>
  <c r="K89" i="8"/>
  <c r="M89" i="8" s="1"/>
  <c r="M92" i="8" s="1"/>
  <c r="J89" i="8"/>
  <c r="I89" i="8"/>
  <c r="F89" i="8"/>
  <c r="M88" i="8"/>
  <c r="K88" i="8"/>
  <c r="J88" i="8"/>
  <c r="F88" i="8"/>
  <c r="M87" i="8"/>
  <c r="K87" i="8"/>
  <c r="J87" i="8"/>
  <c r="F87" i="8"/>
  <c r="M86" i="8"/>
  <c r="K86" i="8"/>
  <c r="J86" i="8"/>
  <c r="F86" i="8"/>
  <c r="M85" i="8"/>
  <c r="K85" i="8"/>
  <c r="J85" i="8"/>
  <c r="F85" i="8"/>
  <c r="M84" i="8"/>
  <c r="K84" i="8"/>
  <c r="I84" i="8"/>
  <c r="J84" i="8" s="1"/>
  <c r="F84" i="8"/>
  <c r="M83" i="8"/>
  <c r="K83" i="8"/>
  <c r="I83" i="8"/>
  <c r="J83" i="8" s="1"/>
  <c r="F83" i="8"/>
  <c r="F75" i="8"/>
  <c r="F76" i="8" s="1"/>
  <c r="K72" i="8"/>
  <c r="M72" i="8" s="1"/>
  <c r="J72" i="8"/>
  <c r="I72" i="8"/>
  <c r="F72" i="8"/>
  <c r="M71" i="8"/>
  <c r="K71" i="8"/>
  <c r="J71" i="8"/>
  <c r="I71" i="8"/>
  <c r="F71" i="8"/>
  <c r="F73" i="8" s="1"/>
  <c r="K70" i="8"/>
  <c r="K73" i="8" s="1"/>
  <c r="M73" i="8" s="1"/>
  <c r="J70" i="8"/>
  <c r="I70" i="8"/>
  <c r="F70" i="8"/>
  <c r="L68" i="8"/>
  <c r="L111" i="8" s="1"/>
  <c r="L67" i="8"/>
  <c r="M67" i="8" s="1"/>
  <c r="J67" i="8"/>
  <c r="I67" i="8"/>
  <c r="F67" i="8"/>
  <c r="L66" i="8"/>
  <c r="M66" i="8" s="1"/>
  <c r="J66" i="8"/>
  <c r="I66" i="8"/>
  <c r="F66" i="8"/>
  <c r="L65" i="8"/>
  <c r="M65" i="8" s="1"/>
  <c r="M68" i="8" s="1"/>
  <c r="J65" i="8"/>
  <c r="I65" i="8"/>
  <c r="F65" i="8"/>
  <c r="F64" i="8"/>
  <c r="F63" i="8"/>
  <c r="F62" i="8"/>
  <c r="F61" i="8"/>
  <c r="F60" i="8"/>
  <c r="F68" i="8" s="1"/>
  <c r="F59" i="8"/>
  <c r="F56" i="8"/>
  <c r="F55" i="8"/>
  <c r="F54" i="8"/>
  <c r="F53" i="8"/>
  <c r="F52" i="8"/>
  <c r="F51" i="8"/>
  <c r="E51" i="8"/>
  <c r="F50" i="8"/>
  <c r="F49" i="8"/>
  <c r="F48" i="8"/>
  <c r="F47" i="8"/>
  <c r="F46" i="8"/>
  <c r="F45" i="8"/>
  <c r="F44" i="8"/>
  <c r="F43" i="8"/>
  <c r="E42" i="8"/>
  <c r="F42" i="8" s="1"/>
  <c r="F57" i="8" s="1"/>
  <c r="F39" i="8"/>
  <c r="E38" i="8"/>
  <c r="F38" i="8" s="1"/>
  <c r="F37" i="8"/>
  <c r="F36" i="8"/>
  <c r="E35" i="8"/>
  <c r="F35" i="8" s="1"/>
  <c r="F34" i="8"/>
  <c r="E34" i="8"/>
  <c r="E33" i="8"/>
  <c r="F33" i="8" s="1"/>
  <c r="F32" i="8"/>
  <c r="E32" i="8"/>
  <c r="F31" i="8"/>
  <c r="F30" i="8"/>
  <c r="F29" i="8"/>
  <c r="F40" i="8" s="1"/>
  <c r="F26" i="8"/>
  <c r="F25" i="8"/>
  <c r="F24" i="8"/>
  <c r="E24" i="8"/>
  <c r="F23" i="8"/>
  <c r="F22" i="8"/>
  <c r="F21" i="8"/>
  <c r="E21" i="8"/>
  <c r="F20" i="8"/>
  <c r="F19" i="8"/>
  <c r="F18" i="8"/>
  <c r="F17" i="8"/>
  <c r="E16" i="8"/>
  <c r="F16" i="8" s="1"/>
  <c r="F14" i="8"/>
  <c r="F13" i="8"/>
  <c r="M12" i="8"/>
  <c r="K12" i="8"/>
  <c r="I12" i="8"/>
  <c r="J12" i="8" s="1"/>
  <c r="F12" i="8"/>
  <c r="K11" i="8"/>
  <c r="M11" i="8" s="1"/>
  <c r="I11" i="8"/>
  <c r="J11" i="8" s="1"/>
  <c r="F11" i="8"/>
  <c r="L10" i="8"/>
  <c r="M10" i="8" s="1"/>
  <c r="J10" i="8"/>
  <c r="I10" i="8"/>
  <c r="F10" i="8"/>
  <c r="J39" i="6"/>
  <c r="I39" i="6"/>
  <c r="E39" i="6"/>
  <c r="F39" i="6" s="1"/>
  <c r="L38" i="6"/>
  <c r="J38" i="6"/>
  <c r="I38" i="6"/>
  <c r="F38" i="6"/>
  <c r="J37" i="6"/>
  <c r="I37" i="6"/>
  <c r="E37" i="6"/>
  <c r="L37" i="6" s="1"/>
  <c r="J36" i="6"/>
  <c r="I36" i="6"/>
  <c r="E36" i="6"/>
  <c r="F36" i="6" s="1"/>
  <c r="L35" i="6"/>
  <c r="J35" i="6"/>
  <c r="I35" i="6"/>
  <c r="F35" i="6"/>
  <c r="L33" i="6"/>
  <c r="L32" i="6"/>
  <c r="J32" i="6"/>
  <c r="I32" i="6"/>
  <c r="F32" i="6"/>
  <c r="F33" i="6" s="1"/>
  <c r="F29" i="6"/>
  <c r="E29" i="6"/>
  <c r="F28" i="6"/>
  <c r="F27" i="6"/>
  <c r="J26" i="6"/>
  <c r="I26" i="6"/>
  <c r="E26" i="6"/>
  <c r="F26" i="6" s="1"/>
  <c r="F30" i="6" s="1"/>
  <c r="L23" i="6"/>
  <c r="L24" i="6" s="1"/>
  <c r="J23" i="6"/>
  <c r="I23" i="6"/>
  <c r="F23" i="6"/>
  <c r="F24" i="6" s="1"/>
  <c r="H20" i="6"/>
  <c r="L20" i="6" s="1"/>
  <c r="F20" i="6"/>
  <c r="E20" i="6"/>
  <c r="H19" i="6"/>
  <c r="L19" i="6" s="1"/>
  <c r="F19" i="6"/>
  <c r="J18" i="6"/>
  <c r="I18" i="6"/>
  <c r="H18" i="6"/>
  <c r="L18" i="6" s="1"/>
  <c r="E18" i="6"/>
  <c r="F18" i="6" s="1"/>
  <c r="L17" i="6"/>
  <c r="L21" i="6" s="1"/>
  <c r="H17" i="6"/>
  <c r="J17" i="6" s="1"/>
  <c r="F17" i="6"/>
  <c r="E17" i="6"/>
  <c r="L14" i="6"/>
  <c r="J14" i="6"/>
  <c r="I14" i="6"/>
  <c r="F14" i="6"/>
  <c r="L13" i="6"/>
  <c r="J13" i="6"/>
  <c r="I13" i="6"/>
  <c r="F13" i="6"/>
  <c r="L12" i="6"/>
  <c r="L15" i="6" s="1"/>
  <c r="J12" i="6"/>
  <c r="I12" i="6"/>
  <c r="F12" i="6"/>
  <c r="F15" i="6" s="1"/>
  <c r="F110" i="8" l="1"/>
  <c r="F77" i="8"/>
  <c r="F111" i="8" s="1"/>
  <c r="L104" i="8"/>
  <c r="M104" i="8" s="1"/>
  <c r="J104" i="8"/>
  <c r="K111" i="8"/>
  <c r="M111" i="8" s="1"/>
  <c r="F27" i="8"/>
  <c r="F112" i="8" s="1"/>
  <c r="K97" i="8"/>
  <c r="L100" i="8"/>
  <c r="M100" i="8" s="1"/>
  <c r="J100" i="8"/>
  <c r="J103" i="8"/>
  <c r="L108" i="8"/>
  <c r="M108" i="8" s="1"/>
  <c r="J108" i="8"/>
  <c r="M93" i="8"/>
  <c r="M94" i="8" s="1"/>
  <c r="M99" i="8"/>
  <c r="L109" i="8"/>
  <c r="K13" i="8"/>
  <c r="M13" i="8" s="1"/>
  <c r="M70" i="8"/>
  <c r="L40" i="6"/>
  <c r="F21" i="6"/>
  <c r="I20" i="6"/>
  <c r="I17" i="6"/>
  <c r="J20" i="6"/>
  <c r="F37" i="6"/>
  <c r="F40" i="6" s="1"/>
  <c r="F41" i="6" s="1"/>
  <c r="E58" i="6" s="1"/>
  <c r="L39" i="6"/>
  <c r="L26" i="6"/>
  <c r="L30" i="6" s="1"/>
  <c r="L41" i="6" s="1"/>
  <c r="J58" i="6" s="1"/>
  <c r="F113" i="8" l="1"/>
  <c r="F179" i="8" s="1"/>
  <c r="M109" i="8"/>
  <c r="L110" i="8"/>
  <c r="L113" i="8" s="1"/>
  <c r="J179" i="8" s="1"/>
  <c r="M97" i="8"/>
  <c r="K110" i="8"/>
  <c r="J65" i="6"/>
  <c r="L65" i="6" s="1"/>
  <c r="J63" i="6"/>
  <c r="J68" i="6"/>
  <c r="L68" i="6" s="1"/>
  <c r="J66" i="6"/>
  <c r="L66" i="6" s="1"/>
  <c r="J62" i="6"/>
  <c r="J67" i="6"/>
  <c r="L67" i="6" s="1"/>
  <c r="E68" i="6"/>
  <c r="E66" i="6"/>
  <c r="E67" i="6"/>
  <c r="E63" i="6"/>
  <c r="E64" i="6" s="1"/>
  <c r="E65" i="6"/>
  <c r="E62" i="6"/>
  <c r="J189" i="8" l="1"/>
  <c r="J188" i="8"/>
  <c r="J187" i="8"/>
  <c r="J186" i="8"/>
  <c r="J184" i="8"/>
  <c r="J185" i="8" s="1"/>
  <c r="J183" i="8"/>
  <c r="M110" i="8"/>
  <c r="K113" i="8"/>
  <c r="F183" i="8"/>
  <c r="F189" i="8"/>
  <c r="F188" i="8"/>
  <c r="F187" i="8"/>
  <c r="F186" i="8"/>
  <c r="F184" i="8"/>
  <c r="F185" i="8" s="1"/>
  <c r="L63" i="6"/>
  <c r="J64" i="6"/>
  <c r="L64" i="6" s="1"/>
  <c r="E74" i="6"/>
  <c r="E76" i="6" s="1"/>
  <c r="J74" i="6"/>
  <c r="L62" i="6"/>
  <c r="F190" i="8" l="1"/>
  <c r="F192" i="8" s="1"/>
  <c r="J190" i="8"/>
  <c r="J192" i="8" s="1"/>
  <c r="H179" i="8"/>
  <c r="M113" i="8"/>
  <c r="J76" i="6"/>
  <c r="L74" i="6"/>
  <c r="E130" i="5"/>
  <c r="I97" i="5"/>
  <c r="L97" i="5" s="1"/>
  <c r="M97" i="5" s="1"/>
  <c r="F97" i="5"/>
  <c r="I96" i="5"/>
  <c r="L96" i="5" s="1"/>
  <c r="M96" i="5" s="1"/>
  <c r="F96" i="5"/>
  <c r="L95" i="5"/>
  <c r="J95" i="5"/>
  <c r="I95" i="5"/>
  <c r="F95" i="5"/>
  <c r="L94" i="5"/>
  <c r="J94" i="5"/>
  <c r="I94" i="5"/>
  <c r="F94" i="5"/>
  <c r="I93" i="5"/>
  <c r="L93" i="5" s="1"/>
  <c r="F93" i="5"/>
  <c r="I92" i="5"/>
  <c r="J92" i="5" s="1"/>
  <c r="F92" i="5"/>
  <c r="I91" i="5"/>
  <c r="L91" i="5" s="1"/>
  <c r="F91" i="5"/>
  <c r="I90" i="5"/>
  <c r="J90" i="5" s="1"/>
  <c r="F90" i="5"/>
  <c r="L89" i="5"/>
  <c r="M89" i="5" s="1"/>
  <c r="J89" i="5"/>
  <c r="F89" i="5"/>
  <c r="L88" i="5"/>
  <c r="M88" i="5" s="1"/>
  <c r="J88" i="5"/>
  <c r="F88" i="5"/>
  <c r="L87" i="5"/>
  <c r="M87" i="5" s="1"/>
  <c r="J87" i="5"/>
  <c r="F87" i="5"/>
  <c r="L86" i="5"/>
  <c r="M86" i="5" s="1"/>
  <c r="J86" i="5"/>
  <c r="F86" i="5"/>
  <c r="L85" i="5"/>
  <c r="M85" i="5" s="1"/>
  <c r="J85" i="5"/>
  <c r="I85" i="5"/>
  <c r="F85" i="5"/>
  <c r="L84" i="5"/>
  <c r="I84" i="5"/>
  <c r="J84" i="5" s="1"/>
  <c r="F84" i="5"/>
  <c r="F98" i="5" s="1"/>
  <c r="F100" i="5" s="1"/>
  <c r="F76" i="5"/>
  <c r="F77" i="5" s="1"/>
  <c r="L73" i="5"/>
  <c r="M73" i="5" s="1"/>
  <c r="J73" i="5"/>
  <c r="I73" i="5"/>
  <c r="F73" i="5"/>
  <c r="L72" i="5"/>
  <c r="M72" i="5" s="1"/>
  <c r="J72" i="5"/>
  <c r="I72" i="5"/>
  <c r="F72" i="5"/>
  <c r="M71" i="5"/>
  <c r="L71" i="5"/>
  <c r="J71" i="5"/>
  <c r="I71" i="5"/>
  <c r="F71" i="5"/>
  <c r="F74" i="5" s="1"/>
  <c r="F68" i="5"/>
  <c r="F67" i="5"/>
  <c r="F66" i="5"/>
  <c r="F65" i="5"/>
  <c r="F64" i="5"/>
  <c r="F63" i="5"/>
  <c r="F62" i="5"/>
  <c r="F61" i="5"/>
  <c r="F60" i="5"/>
  <c r="F69" i="5" s="1"/>
  <c r="F57" i="5"/>
  <c r="F56" i="5"/>
  <c r="F55" i="5"/>
  <c r="F54" i="5"/>
  <c r="F53" i="5"/>
  <c r="E52" i="5"/>
  <c r="F52" i="5" s="1"/>
  <c r="F51" i="5"/>
  <c r="F50" i="5"/>
  <c r="F49" i="5"/>
  <c r="F48" i="5"/>
  <c r="F47" i="5"/>
  <c r="F46" i="5"/>
  <c r="F45" i="5"/>
  <c r="F44" i="5"/>
  <c r="E43" i="5"/>
  <c r="F43" i="5" s="1"/>
  <c r="F58" i="5" s="1"/>
  <c r="F40" i="5"/>
  <c r="E39" i="5"/>
  <c r="F39" i="5" s="1"/>
  <c r="F38" i="5"/>
  <c r="F37" i="5"/>
  <c r="E36" i="5"/>
  <c r="F36" i="5" s="1"/>
  <c r="E35" i="5"/>
  <c r="F35" i="5" s="1"/>
  <c r="E34" i="5"/>
  <c r="F34" i="5" s="1"/>
  <c r="E33" i="5"/>
  <c r="F33" i="5" s="1"/>
  <c r="F32" i="5"/>
  <c r="F31" i="5"/>
  <c r="F30" i="5"/>
  <c r="F27" i="5"/>
  <c r="F26" i="5"/>
  <c r="E25" i="5"/>
  <c r="F25" i="5" s="1"/>
  <c r="F24" i="5"/>
  <c r="F23" i="5"/>
  <c r="E22" i="5"/>
  <c r="F22" i="5" s="1"/>
  <c r="F21" i="5"/>
  <c r="F20" i="5"/>
  <c r="F19" i="5"/>
  <c r="F18" i="5"/>
  <c r="E17" i="5"/>
  <c r="F17" i="5" s="1"/>
  <c r="F28" i="5" s="1"/>
  <c r="F14" i="5"/>
  <c r="L13" i="5"/>
  <c r="M13" i="5" s="1"/>
  <c r="I13" i="5"/>
  <c r="J13" i="5" s="1"/>
  <c r="F13" i="5"/>
  <c r="L12" i="5"/>
  <c r="L15" i="5" s="1"/>
  <c r="M15" i="5" s="1"/>
  <c r="J12" i="5"/>
  <c r="I12" i="5"/>
  <c r="F12" i="5"/>
  <c r="F11" i="5"/>
  <c r="F15" i="5" s="1"/>
  <c r="H183" i="8" l="1"/>
  <c r="H189" i="8"/>
  <c r="H188" i="8"/>
  <c r="H187" i="8"/>
  <c r="H186" i="8"/>
  <c r="H184" i="8"/>
  <c r="H185" i="8" s="1"/>
  <c r="L179" i="8"/>
  <c r="J197" i="8"/>
  <c r="J201" i="8" s="1"/>
  <c r="L76" i="6"/>
  <c r="J80" i="6"/>
  <c r="L80" i="6" s="1"/>
  <c r="J83" i="6"/>
  <c r="L83" i="6" s="1"/>
  <c r="F41" i="5"/>
  <c r="F78" i="5"/>
  <c r="F101" i="5" s="1"/>
  <c r="F102" i="5" s="1"/>
  <c r="F119" i="5" s="1"/>
  <c r="L74" i="5"/>
  <c r="M84" i="5"/>
  <c r="J96" i="5"/>
  <c r="M12" i="5"/>
  <c r="L90" i="5"/>
  <c r="M90" i="5" s="1"/>
  <c r="L92" i="5"/>
  <c r="M92" i="5" s="1"/>
  <c r="J93" i="5"/>
  <c r="J97" i="5"/>
  <c r="L189" i="8" l="1"/>
  <c r="L188" i="8"/>
  <c r="L182" i="8"/>
  <c r="L190" i="8" s="1"/>
  <c r="L192" i="8" s="1"/>
  <c r="L187" i="8"/>
  <c r="L184" i="8"/>
  <c r="L185" i="8" s="1"/>
  <c r="L186" i="8"/>
  <c r="H190" i="8"/>
  <c r="H192" i="8" s="1"/>
  <c r="F128" i="5"/>
  <c r="F124" i="5"/>
  <c r="F125" i="5" s="1"/>
  <c r="F123" i="5"/>
  <c r="F130" i="5" s="1"/>
  <c r="F132" i="5" s="1"/>
  <c r="F127" i="5"/>
  <c r="F129" i="5"/>
  <c r="F126" i="5"/>
  <c r="M93" i="5"/>
  <c r="M94" i="5" s="1"/>
  <c r="M95" i="5" s="1"/>
  <c r="M74" i="5"/>
  <c r="L101" i="5"/>
  <c r="M101" i="5" s="1"/>
  <c r="L98" i="5"/>
  <c r="H197" i="8" l="1"/>
  <c r="L197" i="8" s="1"/>
  <c r="H201" i="8"/>
  <c r="L201" i="8" s="1"/>
  <c r="M98" i="5"/>
  <c r="L100" i="5"/>
  <c r="L102" i="5" l="1"/>
  <c r="M100" i="5"/>
  <c r="M102" i="5" l="1"/>
  <c r="J119" i="5"/>
  <c r="J129" i="5" l="1"/>
  <c r="L119" i="5"/>
  <c r="J124" i="5"/>
  <c r="J125" i="5" s="1"/>
  <c r="J126" i="5"/>
  <c r="J123" i="5"/>
  <c r="J127" i="5"/>
  <c r="J128" i="5"/>
  <c r="J130" i="5" l="1"/>
  <c r="J132" i="5" s="1"/>
  <c r="L126" i="5"/>
  <c r="L129" i="5"/>
  <c r="L127" i="5"/>
  <c r="L128" i="5"/>
  <c r="L124" i="5"/>
  <c r="L125" i="5" s="1"/>
  <c r="L122" i="5"/>
  <c r="L130" i="5" s="1"/>
  <c r="L132" i="5" s="1"/>
  <c r="J137" i="5" l="1"/>
  <c r="L137" i="5" s="1"/>
  <c r="J141" i="5" l="1"/>
  <c r="L141" i="5" s="1"/>
  <c r="E181" i="4" l="1"/>
  <c r="F140" i="4"/>
  <c r="F141" i="4" s="1"/>
  <c r="F137" i="4"/>
  <c r="F136" i="4"/>
  <c r="F135" i="4"/>
  <c r="F134" i="4"/>
  <c r="F138" i="4" s="1"/>
  <c r="F133" i="4"/>
  <c r="F132" i="4"/>
  <c r="F131" i="4"/>
  <c r="F128" i="4"/>
  <c r="F127" i="4"/>
  <c r="F126" i="4"/>
  <c r="F125" i="4"/>
  <c r="F129" i="4" s="1"/>
  <c r="F124" i="4"/>
  <c r="F123" i="4"/>
  <c r="F122" i="4"/>
  <c r="F119" i="4"/>
  <c r="F118" i="4"/>
  <c r="F117" i="4"/>
  <c r="F116" i="4"/>
  <c r="F115" i="4"/>
  <c r="F114" i="4"/>
  <c r="F113" i="4"/>
  <c r="F112" i="4"/>
  <c r="F120" i="4" s="1"/>
  <c r="F111" i="4"/>
  <c r="F108" i="4"/>
  <c r="F107" i="4"/>
  <c r="E106" i="4"/>
  <c r="F106" i="4" s="1"/>
  <c r="F105" i="4"/>
  <c r="F104" i="4"/>
  <c r="F100" i="4"/>
  <c r="F99" i="4"/>
  <c r="F98" i="4"/>
  <c r="F97" i="4"/>
  <c r="F101" i="4" s="1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95" i="4" s="1"/>
  <c r="F72" i="4"/>
  <c r="F71" i="4"/>
  <c r="F70" i="4"/>
  <c r="F69" i="4"/>
  <c r="F68" i="4"/>
  <c r="F73" i="4" s="1"/>
  <c r="F67" i="4"/>
  <c r="F64" i="4"/>
  <c r="F63" i="4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2" i="4"/>
  <c r="F52" i="4" s="1"/>
  <c r="F51" i="4"/>
  <c r="F50" i="4"/>
  <c r="F47" i="4"/>
  <c r="F46" i="4"/>
  <c r="F48" i="4" s="1"/>
  <c r="E42" i="4"/>
  <c r="F42" i="4" s="1"/>
  <c r="F43" i="4" s="1"/>
  <c r="L39" i="4"/>
  <c r="M39" i="4" s="1"/>
  <c r="H39" i="4"/>
  <c r="I39" i="4" s="1"/>
  <c r="J39" i="4" s="1"/>
  <c r="F39" i="4"/>
  <c r="E39" i="4"/>
  <c r="J38" i="4"/>
  <c r="I38" i="4"/>
  <c r="E38" i="4"/>
  <c r="F38" i="4" s="1"/>
  <c r="H37" i="4"/>
  <c r="L37" i="4" s="1"/>
  <c r="M37" i="4" s="1"/>
  <c r="E37" i="4"/>
  <c r="F37" i="4" s="1"/>
  <c r="L36" i="4"/>
  <c r="H36" i="4"/>
  <c r="I36" i="4" s="1"/>
  <c r="J36" i="4" s="1"/>
  <c r="F36" i="4"/>
  <c r="F40" i="4" s="1"/>
  <c r="E36" i="4"/>
  <c r="E33" i="4"/>
  <c r="F33" i="4" s="1"/>
  <c r="I32" i="4"/>
  <c r="J32" i="4" s="1"/>
  <c r="E32" i="4"/>
  <c r="F32" i="4" s="1"/>
  <c r="E30" i="4"/>
  <c r="F30" i="4" s="1"/>
  <c r="F27" i="4"/>
  <c r="F28" i="4" s="1"/>
  <c r="E27" i="4"/>
  <c r="F26" i="4"/>
  <c r="H23" i="4"/>
  <c r="I23" i="4" s="1"/>
  <c r="J23" i="4" s="1"/>
  <c r="E23" i="4"/>
  <c r="F23" i="4" s="1"/>
  <c r="I22" i="4"/>
  <c r="J22" i="4" s="1"/>
  <c r="E22" i="4"/>
  <c r="F22" i="4" s="1"/>
  <c r="L21" i="4"/>
  <c r="M21" i="4" s="1"/>
  <c r="H21" i="4"/>
  <c r="I21" i="4" s="1"/>
  <c r="J21" i="4" s="1"/>
  <c r="F21" i="4"/>
  <c r="E21" i="4"/>
  <c r="H20" i="4"/>
  <c r="I20" i="4" s="1"/>
  <c r="J20" i="4" s="1"/>
  <c r="E20" i="4"/>
  <c r="F20" i="4" s="1"/>
  <c r="F17" i="4"/>
  <c r="E17" i="4"/>
  <c r="J16" i="4"/>
  <c r="I16" i="4"/>
  <c r="E16" i="4"/>
  <c r="F16" i="4" s="1"/>
  <c r="F15" i="4"/>
  <c r="E15" i="4"/>
  <c r="I13" i="4"/>
  <c r="J13" i="4" s="1"/>
  <c r="F13" i="4"/>
  <c r="F18" i="4" s="1"/>
  <c r="E13" i="4"/>
  <c r="L13" i="4" s="1"/>
  <c r="G6" i="4"/>
  <c r="M13" i="4" l="1"/>
  <c r="L14" i="4"/>
  <c r="M14" i="4" s="1"/>
  <c r="L40" i="4"/>
  <c r="F65" i="4"/>
  <c r="F142" i="4" s="1"/>
  <c r="F170" i="4" s="1"/>
  <c r="F109" i="4"/>
  <c r="F24" i="4"/>
  <c r="F34" i="4"/>
  <c r="F53" i="4"/>
  <c r="L20" i="4"/>
  <c r="L23" i="4"/>
  <c r="M23" i="4" s="1"/>
  <c r="I37" i="4"/>
  <c r="J37" i="4" s="1"/>
  <c r="L38" i="4"/>
  <c r="M38" i="4" s="1"/>
  <c r="L32" i="4"/>
  <c r="L16" i="4"/>
  <c r="M36" i="4"/>
  <c r="L22" i="4"/>
  <c r="M22" i="4" s="1"/>
  <c r="F180" i="4" l="1"/>
  <c r="F178" i="4"/>
  <c r="F174" i="4"/>
  <c r="F175" i="4" s="1"/>
  <c r="F179" i="4"/>
  <c r="F176" i="4"/>
  <c r="F173" i="4"/>
  <c r="F177" i="4"/>
  <c r="M40" i="4"/>
  <c r="M32" i="4"/>
  <c r="L33" i="4"/>
  <c r="M33" i="4" s="1"/>
  <c r="M20" i="4"/>
  <c r="L24" i="4"/>
  <c r="M24" i="4" s="1"/>
  <c r="M16" i="4"/>
  <c r="L17" i="4"/>
  <c r="M17" i="4" s="1"/>
  <c r="F181" i="4" l="1"/>
  <c r="F183" i="4" s="1"/>
  <c r="L142" i="4"/>
  <c r="J170" i="4" s="1"/>
  <c r="L170" i="4" l="1"/>
  <c r="J176" i="4"/>
  <c r="L176" i="4" s="1"/>
  <c r="J178" i="4"/>
  <c r="L178" i="4" s="1"/>
  <c r="J177" i="4"/>
  <c r="L177" i="4" s="1"/>
  <c r="J173" i="4"/>
  <c r="J180" i="4"/>
  <c r="L180" i="4" s="1"/>
  <c r="J174" i="4"/>
  <c r="J175" i="4" l="1"/>
  <c r="L175" i="4" s="1"/>
  <c r="L174" i="4"/>
  <c r="L173" i="4"/>
  <c r="J183" i="4"/>
  <c r="J185" i="4" s="1"/>
  <c r="L185" i="4" l="1"/>
  <c r="J190" i="4"/>
  <c r="L190" i="4" s="1"/>
  <c r="J192" i="4" l="1"/>
  <c r="L192" i="4" s="1"/>
  <c r="L170" i="3" l="1"/>
  <c r="L169" i="3"/>
  <c r="M151" i="3"/>
  <c r="L121" i="3"/>
  <c r="K121" i="3"/>
  <c r="M121" i="3" s="1"/>
  <c r="I121" i="3"/>
  <c r="J121" i="3" s="1"/>
  <c r="G121" i="3"/>
  <c r="F121" i="3"/>
  <c r="H120" i="3"/>
  <c r="L120" i="3" s="1"/>
  <c r="G120" i="3"/>
  <c r="I120" i="3" s="1"/>
  <c r="J120" i="3" s="1"/>
  <c r="F120" i="3"/>
  <c r="H119" i="3"/>
  <c r="L119" i="3" s="1"/>
  <c r="G119" i="3"/>
  <c r="I119" i="3" s="1"/>
  <c r="J119" i="3" s="1"/>
  <c r="F119" i="3"/>
  <c r="D119" i="3"/>
  <c r="H118" i="3"/>
  <c r="L118" i="3" s="1"/>
  <c r="L122" i="3" s="1"/>
  <c r="L123" i="3" s="1"/>
  <c r="J156" i="3" s="1"/>
  <c r="G118" i="3"/>
  <c r="I118" i="3" s="1"/>
  <c r="J118" i="3" s="1"/>
  <c r="D118" i="3"/>
  <c r="F118" i="3" s="1"/>
  <c r="F122" i="3" s="1"/>
  <c r="F116" i="3"/>
  <c r="L115" i="3"/>
  <c r="L116" i="3" s="1"/>
  <c r="G115" i="3"/>
  <c r="K115" i="3" s="1"/>
  <c r="F115" i="3"/>
  <c r="L112" i="3"/>
  <c r="K112" i="3"/>
  <c r="M112" i="3" s="1"/>
  <c r="I112" i="3"/>
  <c r="J112" i="3" s="1"/>
  <c r="F112" i="3"/>
  <c r="L111" i="3"/>
  <c r="K111" i="3"/>
  <c r="M111" i="3" s="1"/>
  <c r="I111" i="3"/>
  <c r="J111" i="3" s="1"/>
  <c r="F111" i="3"/>
  <c r="L110" i="3"/>
  <c r="L113" i="3" s="1"/>
  <c r="K110" i="3"/>
  <c r="M110" i="3" s="1"/>
  <c r="I110" i="3"/>
  <c r="J110" i="3" s="1"/>
  <c r="G110" i="3"/>
  <c r="F110" i="3"/>
  <c r="F113" i="3" s="1"/>
  <c r="K106" i="3"/>
  <c r="M106" i="3" s="1"/>
  <c r="I106" i="3"/>
  <c r="G106" i="3"/>
  <c r="J106" i="3" s="1"/>
  <c r="F106" i="3"/>
  <c r="G105" i="3"/>
  <c r="K105" i="3" s="1"/>
  <c r="M105" i="3" s="1"/>
  <c r="F105" i="3"/>
  <c r="K104" i="3"/>
  <c r="M104" i="3" s="1"/>
  <c r="I104" i="3"/>
  <c r="G104" i="3"/>
  <c r="J104" i="3" s="1"/>
  <c r="F104" i="3"/>
  <c r="G103" i="3"/>
  <c r="I103" i="3" s="1"/>
  <c r="F103" i="3"/>
  <c r="A103" i="3"/>
  <c r="A104" i="3" s="1"/>
  <c r="A105" i="3" s="1"/>
  <c r="A106" i="3" s="1"/>
  <c r="A107" i="3" s="1"/>
  <c r="K102" i="3"/>
  <c r="M102" i="3" s="1"/>
  <c r="I102" i="3"/>
  <c r="G102" i="3"/>
  <c r="J102" i="3" s="1"/>
  <c r="F102" i="3"/>
  <c r="F107" i="3" s="1"/>
  <c r="K100" i="3"/>
  <c r="M99" i="3"/>
  <c r="M100" i="3" s="1"/>
  <c r="K99" i="3"/>
  <c r="J99" i="3"/>
  <c r="I99" i="3"/>
  <c r="F99" i="3"/>
  <c r="F100" i="3" s="1"/>
  <c r="K96" i="3"/>
  <c r="M96" i="3" s="1"/>
  <c r="J96" i="3"/>
  <c r="I96" i="3"/>
  <c r="G96" i="3"/>
  <c r="F96" i="3"/>
  <c r="M95" i="3"/>
  <c r="K95" i="3"/>
  <c r="J95" i="3"/>
  <c r="I95" i="3"/>
  <c r="F95" i="3"/>
  <c r="G94" i="3"/>
  <c r="K94" i="3" s="1"/>
  <c r="M94" i="3" s="1"/>
  <c r="F94" i="3"/>
  <c r="A94" i="3"/>
  <c r="A95" i="3" s="1"/>
  <c r="A96" i="3" s="1"/>
  <c r="A97" i="3" s="1"/>
  <c r="K93" i="3"/>
  <c r="M93" i="3" s="1"/>
  <c r="J93" i="3"/>
  <c r="I93" i="3"/>
  <c r="G93" i="3"/>
  <c r="F93" i="3"/>
  <c r="F97" i="3" s="1"/>
  <c r="K89" i="3"/>
  <c r="M89" i="3" s="1"/>
  <c r="I89" i="3"/>
  <c r="G89" i="3"/>
  <c r="J89" i="3" s="1"/>
  <c r="F89" i="3"/>
  <c r="G88" i="3"/>
  <c r="K88" i="3" s="1"/>
  <c r="M88" i="3" s="1"/>
  <c r="F88" i="3"/>
  <c r="A88" i="3"/>
  <c r="A89" i="3" s="1"/>
  <c r="A90" i="3" s="1"/>
  <c r="K87" i="3"/>
  <c r="K90" i="3" s="1"/>
  <c r="M90" i="3" s="1"/>
  <c r="J87" i="3"/>
  <c r="I87" i="3"/>
  <c r="G87" i="3"/>
  <c r="F87" i="3"/>
  <c r="F90" i="3" s="1"/>
  <c r="F81" i="3"/>
  <c r="F80" i="3"/>
  <c r="F77" i="3"/>
  <c r="F76" i="3"/>
  <c r="F75" i="3"/>
  <c r="F74" i="3"/>
  <c r="F78" i="3" s="1"/>
  <c r="F73" i="3"/>
  <c r="F69" i="3"/>
  <c r="F68" i="3"/>
  <c r="F67" i="3"/>
  <c r="F66" i="3"/>
  <c r="F65" i="3"/>
  <c r="F64" i="3"/>
  <c r="F70" i="3" s="1"/>
  <c r="F63" i="3"/>
  <c r="F60" i="3"/>
  <c r="F59" i="3"/>
  <c r="F58" i="3"/>
  <c r="F57" i="3"/>
  <c r="F56" i="3"/>
  <c r="F55" i="3"/>
  <c r="F61" i="3" s="1"/>
  <c r="E54" i="3"/>
  <c r="F52" i="3"/>
  <c r="E51" i="3"/>
  <c r="E50" i="3"/>
  <c r="E49" i="3"/>
  <c r="E48" i="3"/>
  <c r="E47" i="3"/>
  <c r="E46" i="3"/>
  <c r="E45" i="3"/>
  <c r="F43" i="3"/>
  <c r="E42" i="3"/>
  <c r="F40" i="3"/>
  <c r="E39" i="3"/>
  <c r="E38" i="3"/>
  <c r="E37" i="3"/>
  <c r="E36" i="3"/>
  <c r="F34" i="3"/>
  <c r="E33" i="3"/>
  <c r="F31" i="3"/>
  <c r="E30" i="3"/>
  <c r="F27" i="3"/>
  <c r="E26" i="3"/>
  <c r="F24" i="3"/>
  <c r="E23" i="3"/>
  <c r="E22" i="3"/>
  <c r="E21" i="3"/>
  <c r="E20" i="3"/>
  <c r="F18" i="3"/>
  <c r="E17" i="3"/>
  <c r="F15" i="3"/>
  <c r="F125" i="3" s="1"/>
  <c r="E14" i="3"/>
  <c r="M7" i="3"/>
  <c r="F82" i="3" l="1"/>
  <c r="F124" i="3" s="1"/>
  <c r="F126" i="3" s="1"/>
  <c r="F127" i="3" s="1"/>
  <c r="F123" i="3"/>
  <c r="J166" i="3"/>
  <c r="J165" i="3"/>
  <c r="J164" i="3"/>
  <c r="J163" i="3"/>
  <c r="J161" i="3"/>
  <c r="J162" i="3" s="1"/>
  <c r="J160" i="3"/>
  <c r="J172" i="3" s="1"/>
  <c r="J174" i="3" s="1"/>
  <c r="K116" i="3"/>
  <c r="M116" i="3" s="1"/>
  <c r="M115" i="3"/>
  <c r="K97" i="3"/>
  <c r="M97" i="3" s="1"/>
  <c r="J103" i="3"/>
  <c r="K113" i="3"/>
  <c r="M113" i="3" s="1"/>
  <c r="K118" i="3"/>
  <c r="M87" i="3"/>
  <c r="I88" i="3"/>
  <c r="I94" i="3"/>
  <c r="K103" i="3"/>
  <c r="M103" i="3" s="1"/>
  <c r="I105" i="3"/>
  <c r="I115" i="3"/>
  <c r="J115" i="3" s="1"/>
  <c r="K119" i="3"/>
  <c r="M119" i="3" s="1"/>
  <c r="K120" i="3"/>
  <c r="M120" i="3" s="1"/>
  <c r="J88" i="3"/>
  <c r="J94" i="3"/>
  <c r="J105" i="3"/>
  <c r="K107" i="3"/>
  <c r="M107" i="3" s="1"/>
  <c r="J181" i="3" l="1"/>
  <c r="J179" i="3"/>
  <c r="M118" i="3"/>
  <c r="K122" i="3"/>
  <c r="E156" i="3"/>
  <c r="M122" i="3" l="1"/>
  <c r="K123" i="3"/>
  <c r="E166" i="3"/>
  <c r="E165" i="3"/>
  <c r="E164" i="3"/>
  <c r="E163" i="3"/>
  <c r="E161" i="3"/>
  <c r="E162" i="3" s="1"/>
  <c r="E160" i="3"/>
  <c r="M123" i="3" l="1"/>
  <c r="H156" i="3"/>
  <c r="E172" i="3"/>
  <c r="E174" i="3" s="1"/>
  <c r="L156" i="3" l="1"/>
  <c r="H166" i="3"/>
  <c r="L166" i="3" s="1"/>
  <c r="H165" i="3"/>
  <c r="L165" i="3" s="1"/>
  <c r="H164" i="3"/>
  <c r="L164" i="3" s="1"/>
  <c r="H163" i="3"/>
  <c r="L163" i="3" s="1"/>
  <c r="H161" i="3"/>
  <c r="H160" i="3"/>
  <c r="L160" i="3" l="1"/>
  <c r="L161" i="3"/>
  <c r="H162" i="3"/>
  <c r="L162" i="3" s="1"/>
  <c r="L172" i="3" l="1"/>
  <c r="H172" i="3"/>
  <c r="H174" i="3" s="1"/>
  <c r="H179" i="3" l="1"/>
  <c r="H181" i="3"/>
  <c r="L181" i="3" s="1"/>
  <c r="L174" i="3"/>
  <c r="N174" i="3" s="1"/>
  <c r="L71" i="2" l="1"/>
  <c r="M71" i="2" s="1"/>
  <c r="F71" i="2"/>
  <c r="L70" i="2"/>
  <c r="M70" i="2" s="1"/>
  <c r="F70" i="2"/>
  <c r="M69" i="2"/>
  <c r="L68" i="2"/>
  <c r="M68" i="2" s="1"/>
  <c r="F68" i="2"/>
  <c r="M67" i="2"/>
  <c r="F66" i="2"/>
  <c r="F72" i="2" s="1"/>
  <c r="M65" i="2"/>
  <c r="L65" i="2"/>
  <c r="F65" i="2"/>
  <c r="L64" i="2"/>
  <c r="L66" i="2" s="1"/>
  <c r="H64" i="2"/>
  <c r="F64" i="2"/>
  <c r="F58" i="2"/>
  <c r="F57" i="2"/>
  <c r="F56" i="2"/>
  <c r="F55" i="2"/>
  <c r="F59" i="2" s="1"/>
  <c r="F54" i="2"/>
  <c r="F53" i="2"/>
  <c r="F52" i="2"/>
  <c r="F49" i="2"/>
  <c r="F48" i="2"/>
  <c r="F47" i="2"/>
  <c r="F46" i="2"/>
  <c r="F50" i="2" s="1"/>
  <c r="F45" i="2"/>
  <c r="F44" i="2"/>
  <c r="F43" i="2"/>
  <c r="F40" i="2"/>
  <c r="F39" i="2"/>
  <c r="F38" i="2"/>
  <c r="F37" i="2"/>
  <c r="F41" i="2" s="1"/>
  <c r="F36" i="2"/>
  <c r="F35" i="2"/>
  <c r="F34" i="2"/>
  <c r="F31" i="2"/>
  <c r="F30" i="2"/>
  <c r="F28" i="2"/>
  <c r="F29" i="2" s="1"/>
  <c r="F25" i="2"/>
  <c r="F26" i="2" s="1"/>
  <c r="L24" i="2"/>
  <c r="M24" i="2" s="1"/>
  <c r="F24" i="2"/>
  <c r="H23" i="2"/>
  <c r="L23" i="2" s="1"/>
  <c r="M23" i="2" s="1"/>
  <c r="F23" i="2"/>
  <c r="H22" i="2"/>
  <c r="H25" i="2" s="1"/>
  <c r="L25" i="2" s="1"/>
  <c r="M25" i="2" s="1"/>
  <c r="F22" i="2"/>
  <c r="F19" i="2"/>
  <c r="F20" i="2" s="1"/>
  <c r="F74" i="2" s="1"/>
  <c r="F17" i="2"/>
  <c r="L16" i="2"/>
  <c r="M16" i="2" s="1"/>
  <c r="F16" i="2"/>
  <c r="F13" i="2"/>
  <c r="F12" i="2"/>
  <c r="F60" i="2" l="1"/>
  <c r="F73" i="2" s="1"/>
  <c r="F75" i="2" s="1"/>
  <c r="M66" i="2"/>
  <c r="L72" i="2"/>
  <c r="F76" i="2"/>
  <c r="E91" i="2" s="1"/>
  <c r="L22" i="2"/>
  <c r="M64" i="2"/>
  <c r="E101" i="2" l="1"/>
  <c r="E98" i="2"/>
  <c r="E99" i="2"/>
  <c r="E95" i="2"/>
  <c r="E100" i="2"/>
  <c r="E96" i="2"/>
  <c r="E97" i="2" s="1"/>
  <c r="L26" i="2"/>
  <c r="M22" i="2"/>
  <c r="L73" i="2" l="1"/>
  <c r="L76" i="2" s="1"/>
  <c r="J91" i="2" s="1"/>
  <c r="M26" i="2"/>
  <c r="E107" i="2"/>
  <c r="E109" i="2" s="1"/>
  <c r="J98" i="2" l="1"/>
  <c r="L98" i="2" s="1"/>
  <c r="J99" i="2"/>
  <c r="L99" i="2" s="1"/>
  <c r="J95" i="2"/>
  <c r="J100" i="2"/>
  <c r="L100" i="2" s="1"/>
  <c r="J96" i="2"/>
  <c r="J101" i="2"/>
  <c r="L101" i="2" s="1"/>
  <c r="L95" i="2" l="1"/>
  <c r="L96" i="2"/>
  <c r="J97" i="2"/>
  <c r="L97" i="2" s="1"/>
  <c r="J107" i="2" l="1"/>
  <c r="J109" i="2" l="1"/>
  <c r="L107" i="2"/>
  <c r="L109" i="2" l="1"/>
  <c r="J113" i="2"/>
  <c r="L113" i="2" s="1"/>
  <c r="J116" i="2" l="1"/>
  <c r="L116" i="2" s="1"/>
</calcChain>
</file>

<file path=xl/sharedStrings.xml><?xml version="1.0" encoding="utf-8"?>
<sst xmlns="http://schemas.openxmlformats.org/spreadsheetml/2006/main" count="3231" uniqueCount="742">
  <si>
    <t>CORPORACION DE ACUEDUCTOS Y ALCANTARILLADOS DE PUERTO PLATA</t>
  </si>
  <si>
    <t>"CORAAPPLATA"</t>
  </si>
  <si>
    <t>Pág. 01/02</t>
  </si>
  <si>
    <t>OBRAS:</t>
  </si>
  <si>
    <t>AMPLIACION ACUEDUCTO DE SAN MARCOS</t>
  </si>
  <si>
    <t>MONTO  CONTRATADO:</t>
  </si>
  <si>
    <t>RD$13,226,796.50</t>
  </si>
  <si>
    <t>CUBICACION NO.:</t>
  </si>
  <si>
    <t>MONTO AVANCE:</t>
  </si>
  <si>
    <t>FECHA DE REALIZACION:</t>
  </si>
  <si>
    <t>OCTUBRE 10, 2023</t>
  </si>
  <si>
    <t xml:space="preserve"> </t>
  </si>
  <si>
    <t>NO. CONTRATO:</t>
  </si>
  <si>
    <t>007/2022</t>
  </si>
  <si>
    <t>CONTRATISTA:</t>
  </si>
  <si>
    <t>ING. WASCAR VASQUEZ</t>
  </si>
  <si>
    <t xml:space="preserve">                                      PARTIDAS PRESUPUESTO</t>
  </si>
  <si>
    <t>CANTIDADES</t>
  </si>
  <si>
    <t>COSTOS RD$</t>
  </si>
  <si>
    <t>CODIGO</t>
  </si>
  <si>
    <t>DESCRIPCION</t>
  </si>
  <si>
    <t>UND.</t>
  </si>
  <si>
    <t>CANTIDAD</t>
  </si>
  <si>
    <t>P. U. RD$</t>
  </si>
  <si>
    <t>TOTAL</t>
  </si>
  <si>
    <t>ANTERIOR</t>
  </si>
  <si>
    <t>PRESENTE</t>
  </si>
  <si>
    <t>ACUMULADO</t>
  </si>
  <si>
    <t>%</t>
  </si>
  <si>
    <t>A</t>
  </si>
  <si>
    <t>PERFORACION  Y AFORO DE POZOS</t>
  </si>
  <si>
    <t>POZOS NUEVOS A PERFORAR</t>
  </si>
  <si>
    <t>UD</t>
  </si>
  <si>
    <t>SUBTOTAL PERFORACION</t>
  </si>
  <si>
    <t>B</t>
  </si>
  <si>
    <t xml:space="preserve">LINEA DE IMPULSION </t>
  </si>
  <si>
    <t>PRELIMINARES</t>
  </si>
  <si>
    <t>REPLANTEO (CON TOPOGRAFO)</t>
  </si>
  <si>
    <t>ML</t>
  </si>
  <si>
    <t>SUBTOTAL</t>
  </si>
  <si>
    <t xml:space="preserve">SUMINISTRO Y COLOCACION DE </t>
  </si>
  <si>
    <t>TUBERIA PVC-SDR 21 8" +5% OIR CAMP</t>
  </si>
  <si>
    <t>SUBTOTAL SUMINISTRO</t>
  </si>
  <si>
    <t>MOVIMIENTO DE TIERRA</t>
  </si>
  <si>
    <t>EXCAVACION CON EQUIPO</t>
  </si>
  <si>
    <t>M3</t>
  </si>
  <si>
    <t>ASIENTO DE ARENA DE 10 CM</t>
  </si>
  <si>
    <t>BOTE DE MATERIAL</t>
  </si>
  <si>
    <t>RELLENO COMPACTADO DE REPOSICION</t>
  </si>
  <si>
    <t>SUBTOTAL MOVIMIENTO DE TIERRA</t>
  </si>
  <si>
    <t xml:space="preserve">ANCLAJE EN CONCRETO </t>
  </si>
  <si>
    <t>ANCLAJE EN TUBERIA DE 8" (1X0.75X0.6) H.S</t>
  </si>
  <si>
    <t>UND</t>
  </si>
  <si>
    <t>SUBTOTAL ANCLAJE</t>
  </si>
  <si>
    <t>INTERCONEXION A LINEA EXISTENTE</t>
  </si>
  <si>
    <t>PA</t>
  </si>
  <si>
    <t xml:space="preserve">SUBTOTAL INTERCONEXION </t>
  </si>
  <si>
    <t>C</t>
  </si>
  <si>
    <t>ESTACION DE BOMBEO #1</t>
  </si>
  <si>
    <t>BOMBA SUMERGIBLE DE 400 GPM Y 300 TDH, CHEQUE HORIZONTAL DIA 8" PLATILLADO COMPLETO (PN 10, ASIENTO EN BRONCE, NIPLES PLATILADOS,  JUNTA DE GOMA Y SUS TORNILLOS)</t>
  </si>
  <si>
    <t>CHEQUE HORIZONTAL 8" PLATILLADO COMPLETO ( PN 10, ASIENTO DE EN BRONCE, NIPLES PLATILLADOS, JUNTA DE GOMA Y SUS TORNILLOS)</t>
  </si>
  <si>
    <t>VALVULAS DE COMPUERTA DI 8" COMPLETA ( PN 10, VASTAGO FIJO, JUNTAS DRESSER CRIOLLA, 2 NIPLES PLATILLADOS DE 8", JUNTAS DE GOMA Y SUS TORNILLOS)</t>
  </si>
  <si>
    <t>SUMINISTRO E INSTALACION DE MANIFOLD DE 8", INCLUIR MANOMETRO DE 0-200PSI.</t>
  </si>
  <si>
    <t xml:space="preserve">PILAR PARA INSTALACION DE PANEL DE CONTROL </t>
  </si>
  <si>
    <t>VACIADO DE RECUBRIMIENTO DE TUBERIA DEL POZO</t>
  </si>
  <si>
    <t>CERCADO DE AREA DE ESTACION DE BOMBEO 4MX4N EN MALLA CICLONICA 6 PIES</t>
  </si>
  <si>
    <t xml:space="preserve">SUBTOTAL </t>
  </si>
  <si>
    <t>D</t>
  </si>
  <si>
    <t>ESTACION DE BOMBEO #2</t>
  </si>
  <si>
    <t xml:space="preserve">BOMBA SUMERGIBLE DE 400 GPM Y 300 TDH, PANEL DE CONTROL CON CABLE DE PANEL A MOTOR DE 120 PIES, CONTROL DE FASE, 100 PIES DE COLUMNAS DE DIAMETRO EN FUNCION DE LA BOMBA </t>
  </si>
  <si>
    <t>PILAR PARA INSTALACION DE PANEL DE CONTROL  EN HA 210 KG/CM2 (0.5X1.8X0.2) 3/8 @ 20 AD ( INCLUIR ZAPATA 1.2X1.2X0.25)</t>
  </si>
  <si>
    <t>E</t>
  </si>
  <si>
    <t>ESTACION DE BOMBEO #3</t>
  </si>
  <si>
    <t>SUBTOTAL GENERAL DE PRESUPUESTO</t>
  </si>
  <si>
    <t xml:space="preserve">ADICIONAL POR PARTIDA NUEVA </t>
  </si>
  <si>
    <t xml:space="preserve">PRELIMINARES </t>
  </si>
  <si>
    <t xml:space="preserve">LETRERO DE OBRA </t>
  </si>
  <si>
    <t xml:space="preserve">MANEJO DEL TRANSITO </t>
  </si>
  <si>
    <t xml:space="preserve">SUMINISTRO TUBERIA  </t>
  </si>
  <si>
    <t>TUBERIA PVC-SDR 21 12" +5% OIR CAMP</t>
  </si>
  <si>
    <t xml:space="preserve">TUBERIA PVC-SDR 21 12" </t>
  </si>
  <si>
    <t>SUBTOTAL ADICIONALES</t>
  </si>
  <si>
    <t>SUBTOTAL PRESUPUESTO</t>
  </si>
  <si>
    <t xml:space="preserve">PARTIDAS NO SE REALIZARAN </t>
  </si>
  <si>
    <t>SUBTOTAL PRESUPUESTO MENOS PARTIDAS NO SE EJECUTARAN</t>
  </si>
  <si>
    <t>SUBTOTAL GENERAL</t>
  </si>
  <si>
    <t xml:space="preserve">                                         CORPORACION DE ACUEDUCTOS Y ALCANTARILLADOS DE PUERTO PLATA</t>
  </si>
  <si>
    <t>Pag 2/2</t>
  </si>
  <si>
    <t>OBRA:</t>
  </si>
  <si>
    <t xml:space="preserve">AMPLIACION ACUEDUCTO DE SAN MARCOS
</t>
  </si>
  <si>
    <t>PRESUPUESTO</t>
  </si>
  <si>
    <t xml:space="preserve">SUB-TOTAL GENERAL PRESUPUESTO + ADICIONALES </t>
  </si>
  <si>
    <t>SUB-TOTAL GENERAL</t>
  </si>
  <si>
    <t>MAS:</t>
  </si>
  <si>
    <t>GASTOS INDIRECTOS</t>
  </si>
  <si>
    <t>GASTOS ADMINISTRATIVOS</t>
  </si>
  <si>
    <t>HONORARIOS PROFESIONALES</t>
  </si>
  <si>
    <t>ITBIS A HONORARIOS PROFESIONALES</t>
  </si>
  <si>
    <t>SEGUROS, POLIZAS Y FIANZAS</t>
  </si>
  <si>
    <t>TRANSPORTE</t>
  </si>
  <si>
    <t>LEY 6/86</t>
  </si>
  <si>
    <t>CODIA</t>
  </si>
  <si>
    <t xml:space="preserve">SUPERVISION </t>
  </si>
  <si>
    <t>IMPREVISTOS</t>
  </si>
  <si>
    <t>SUB-TOTAL GASTOS DIRECTOS</t>
  </si>
  <si>
    <t>SUB-TOTAL CUBICADO</t>
  </si>
  <si>
    <t>MENOS:</t>
  </si>
  <si>
    <t>AMORTIZACION DEL AVANCE</t>
  </si>
  <si>
    <t>TOTAL A PAGAR EN CUBICACION 01</t>
  </si>
  <si>
    <t>PREPARADO POR:</t>
  </si>
  <si>
    <t>REVISADO POR:</t>
  </si>
  <si>
    <t>APROBADO POR:</t>
  </si>
  <si>
    <t xml:space="preserve"> MARCOS JOEL GARCIA GARCIA</t>
  </si>
  <si>
    <t>JUAN RAMON MOORE CHECO</t>
  </si>
  <si>
    <t xml:space="preserve">                                                              OLIVER JOSE NAZARIO BRUGAL</t>
  </si>
  <si>
    <t>ANALISTA DEPTO. FISCALIZACION DE OBRAS</t>
  </si>
  <si>
    <t>ENC. DEPTO. FISCALIZACION DE OBRAS</t>
  </si>
  <si>
    <t xml:space="preserve">                                                             DIRECTOR GENERAL</t>
  </si>
  <si>
    <t>AMPLIACION ACUEDUCTO CABARETE</t>
  </si>
  <si>
    <t>Octubre 09, 2023</t>
  </si>
  <si>
    <t>006/2022</t>
  </si>
  <si>
    <t>ESTEBAN POLANCO</t>
  </si>
  <si>
    <t>LINEA DE 12 PULGADAS</t>
  </si>
  <si>
    <t>TRABAJOS PRELIMINARES</t>
  </si>
  <si>
    <t>REPLANTEO ( CON TOPOGRAFO)</t>
  </si>
  <si>
    <t>TUBERIA PVC-SDR 21 12" +5% POR CAMP</t>
  </si>
  <si>
    <t xml:space="preserve">BOTE DE MATERIAL </t>
  </si>
  <si>
    <t>ANCLAJE DE CONCRETO</t>
  </si>
  <si>
    <t>ANCLAJE EN TUBERIA DE 12" (1X0.85X0.60)</t>
  </si>
  <si>
    <t>LINEA DE 8 PULGADAS</t>
  </si>
  <si>
    <t>TUBERIA PVC-SDR 21 8" +5% POR CAMP</t>
  </si>
  <si>
    <t>ANCLAJE EN CONCRETO</t>
  </si>
  <si>
    <t>ANCLAJE EN TUBERIA DE 12" (1X0.75X0.60)H.S</t>
  </si>
  <si>
    <t>PIEZAS ESPECIALES (SUMINISTRO Y COLOCACION)</t>
  </si>
  <si>
    <t>CODOS EN HIERRO NEGRO DE 45 GRADOS DE 8"</t>
  </si>
  <si>
    <t>CODOS EN HIERRO NEGRO DE 90 GRADOS DE 8"</t>
  </si>
  <si>
    <t>CODOS EN HIERRO NEGRO DE 45 GRADOS DE 12"</t>
  </si>
  <si>
    <t>CODOS EN HIERRO NEGRO DE 90 GRADOS DE 12"</t>
  </si>
  <si>
    <t>VALVULAS DE AIRE DE 1" 250 PSI DE TRIPLE FUNCION, COMPLETA CON SU NIPLE</t>
  </si>
  <si>
    <t>JUNTA DRESSER DE 8"</t>
  </si>
  <si>
    <t>JUNTA DRESSER DE 12"</t>
  </si>
  <si>
    <t>BOMBA SUMERGIBLE DE 400 GPM Y 180 TDH, PANEL DE CONTROL CON CABLE</t>
  </si>
  <si>
    <t>CHEQUE HORIZONTAL DIAME 8" PLATILLADO COMPLETO (PN10, ASIENTO EN BRONC</t>
  </si>
  <si>
    <t>VALVULAS DE COMPUERTA DE DIAM 8" COMPLETA (PN10, VASTAGO FIJO, JUNTAS</t>
  </si>
  <si>
    <t>SUMINISTRO E INSTALACION MANIFOLD DE 8", INCLUIR MANOMETRO DE 0-20</t>
  </si>
  <si>
    <t>PILAR PARA INSTALACION DE PANEL DE CONTROL EN H.A 210KG/CM2 (0.5X</t>
  </si>
  <si>
    <t>CERCADO DE AREA DE ESTACION DE BOMBEO 4M X 4M EN MALLA CICLONICA</t>
  </si>
  <si>
    <t>BOMBA SUMERGIBLE DE 400 GPM Y 280 TDH, PANEL DE CONTROL CON CABLE</t>
  </si>
  <si>
    <t>F</t>
  </si>
  <si>
    <t>INTERCONEXION A LINEA DE 30"</t>
  </si>
  <si>
    <t>INTERCONEXION A LINEA DE 20"</t>
  </si>
  <si>
    <t>PICADO DE CALLE, CONEXIÓN A TUBERIA, SUMINISTRO Y COLOCACION DE TEE</t>
  </si>
  <si>
    <t>EXCAVACION NO CLASIFICADA</t>
  </si>
  <si>
    <t>ASIENTO DE GRAVA DE 20 CM</t>
  </si>
  <si>
    <t>G</t>
  </si>
  <si>
    <t>INSTLACION ELECTRICA</t>
  </si>
  <si>
    <t>INSTALACION ELECTRICA</t>
  </si>
  <si>
    <t xml:space="preserve">ADICIONAL POR NUEVAS PARTIDAS </t>
  </si>
  <si>
    <t>H</t>
  </si>
  <si>
    <t xml:space="preserve">AFORO POZOS DE CABARETE </t>
  </si>
  <si>
    <t xml:space="preserve">PRUEBA  DE AFORO </t>
  </si>
  <si>
    <t xml:space="preserve">ANALISIS QUIMICO </t>
  </si>
  <si>
    <t xml:space="preserve">ALQUILER DE PLANTA </t>
  </si>
  <si>
    <t>I</t>
  </si>
  <si>
    <t xml:space="preserve">LINEA DE IMPULSION LOS CASTILLOS </t>
  </si>
  <si>
    <t xml:space="preserve">SUMINISTRO Y COLOCACION DE LETREROS </t>
  </si>
  <si>
    <t>CORTE DE ASFALTO</t>
  </si>
  <si>
    <t xml:space="preserve">MANTENIMIENTO DEL TRANSITO </t>
  </si>
  <si>
    <t>J</t>
  </si>
  <si>
    <t>SUMINISTRO Y COLOCACION DE:</t>
  </si>
  <si>
    <t xml:space="preserve">TUBERIA PVC SDR-26 C/JG+5% POR CAMPANA </t>
  </si>
  <si>
    <t>K</t>
  </si>
  <si>
    <t xml:space="preserve">MOVIMIENTOS DE TIERRA </t>
  </si>
  <si>
    <t xml:space="preserve">ASIENTO DE ARENA </t>
  </si>
  <si>
    <t xml:space="preserve">DEMOLICION DE SUPERFICIE CON COMPRESOR </t>
  </si>
  <si>
    <t>HORAS</t>
  </si>
  <si>
    <t>L</t>
  </si>
  <si>
    <t xml:space="preserve">LINEA DE DISTRIBUCION CALLEJON DE LA LOMA </t>
  </si>
  <si>
    <t xml:space="preserve">SUBTOTAL ADICIONALES </t>
  </si>
  <si>
    <t xml:space="preserve">LAS PARTIDAS DESDE LA A HASTA C NO SE REALIZARAN DEBIDO AL CAMBIO EN LA TUBERIA YA QUE LA FUENTE DE ABASTECIMIENTO( POZOS) NO SE PODRA EXTRAER EL CAUDAL ESPERADO </t>
  </si>
  <si>
    <t>ESTAS PARTIDAS SERAN SUSTITUIDAS POR LAS PARTIDAS ADICIONALES DESDE LA H HASTA LA PARTIDA L</t>
  </si>
  <si>
    <t>ESTEBAN POLANCO MOLINA</t>
  </si>
  <si>
    <t>Pág. 03/03</t>
  </si>
  <si>
    <t>SUB-TOTAL GASTOS INDIRECTOS</t>
  </si>
  <si>
    <t>TOTAL A PAGAR EN CUBICACION 02</t>
  </si>
  <si>
    <t>ACUEDUCTO MARIA L O</t>
  </si>
  <si>
    <t>RD$29,891,922.14</t>
  </si>
  <si>
    <t>RD$5,978,384.428</t>
  </si>
  <si>
    <t>SEPTIEMBRE 30, 2023</t>
  </si>
  <si>
    <t>005/2022</t>
  </si>
  <si>
    <t>ESPIRAL S.R.L</t>
  </si>
  <si>
    <t xml:space="preserve">  </t>
  </si>
  <si>
    <t>LINEA DE IMPULSION</t>
  </si>
  <si>
    <t>SUMINISTRO Y COLOCACION DE :</t>
  </si>
  <si>
    <t>TUBERIA PVC-SDR21 8" +5% POR CAMP</t>
  </si>
  <si>
    <t>TUBERIA PVC-SDR21 12" +5% POR CAMP</t>
  </si>
  <si>
    <t>TUBERIA PVC-SDR26 12" +5% POR CAMP</t>
  </si>
  <si>
    <t>ASIENTO DE ARENA DE 10CM</t>
  </si>
  <si>
    <t xml:space="preserve">RELLENO COMPACTADO DE REPOSICION </t>
  </si>
  <si>
    <t>ANCLAJE EN TUBERIA DE 8" (1.0X0.75X0.6) H.S</t>
  </si>
  <si>
    <t>ANCLAJE EN TUBERIA DE 12" (1.0X0.75X0.6) H.S</t>
  </si>
  <si>
    <t>LINEA DE DISTRIBUCION</t>
  </si>
  <si>
    <t>TUBERIA PVC-SDR  26+5% POR CAMP</t>
  </si>
  <si>
    <t>ANCLAJE EN TUBERIA (1.0X0.85X0.6) H.S.</t>
  </si>
  <si>
    <t>TANQUE DE ALMACENAMIENTO DE 500 M3</t>
  </si>
  <si>
    <t>CASETA PARA MATERIALES</t>
  </si>
  <si>
    <t>EXCAVACION MATERIAL COMPACTADO CON EQUIPO</t>
  </si>
  <si>
    <t>RELLENO COMPACTADO CON CALICHE CON COMPACTADOR MECANICO EN CAPAS DE 0.30M</t>
  </si>
  <si>
    <t>BOTE DE MATERIAL SOBRANTE (INCLUYE CARGUIO Y ESPARCIMIENTO EN BOTADERO) (D= 5KM)</t>
  </si>
  <si>
    <t>HORMIGON ARMADO 280 KG/CM2 EN:</t>
  </si>
  <si>
    <t>ZAPATA DE MURO (0.40X1.25M) M -2.79 QQ/M3</t>
  </si>
  <si>
    <t>LOSA DE FONDO 0.20 M -1.33 QQ/M3</t>
  </si>
  <si>
    <t>ZAPATA DE COLUMNA CENTRAL C1 (0.40X0.40) M-2.42 QQ/M3</t>
  </si>
  <si>
    <t>ZABALETA EN HORMIGON SIMPLE FC=180 KG/CM2</t>
  </si>
  <si>
    <t>MURO H.A 0.30M-2.55 QQ/M3</t>
  </si>
  <si>
    <t>COLUMNA C1 (0.40X0.40) M -5.19 QQ/M3</t>
  </si>
  <si>
    <t>COLUMNA C2 (0.40X0.40) M -4.37 QQ/M3</t>
  </si>
  <si>
    <t>VIGA (0.25X0.50) M- 5.07 QQ/M3</t>
  </si>
  <si>
    <t>LOSA DE TECHO 0.15M -0.93 QQ/M3</t>
  </si>
  <si>
    <t>MURO DE TAPA 0.15 M EN H.S FC=180 KG/CM2</t>
  </si>
  <si>
    <t>TERMINACION DE SUPERFICIE</t>
  </si>
  <si>
    <t>PAÑETE INTERIOR PULIDO</t>
  </si>
  <si>
    <t>M2</t>
  </si>
  <si>
    <t>PAÑETE EXTERIOR</t>
  </si>
  <si>
    <t>FINO DE TECHO</t>
  </si>
  <si>
    <t>FINO DE FONDO PULIDO</t>
  </si>
  <si>
    <t>CANTOS</t>
  </si>
  <si>
    <t>PINTURA ACRILICA (INCLUYE BASE BLANCA)</t>
  </si>
  <si>
    <t>INSTALACION ENTRADA, SALIDA, REBOSE, DESAGUE Y BY-PASS ( CON PROTECCION ANTICORROSIVA)</t>
  </si>
  <si>
    <t>CODO 12" X 90 " ACERO SCH-30</t>
  </si>
  <si>
    <t>CODO 8" X 90" ACERO SCH-40</t>
  </si>
  <si>
    <t>TEE 12" X 12" ACERO SCH-30</t>
  </si>
  <si>
    <t>TEE 12" X 8" ACERO SCH-30</t>
  </si>
  <si>
    <t>JUNTA MECANICA TIPO DRESSER DIA 12" ACERO SCH-30</t>
  </si>
  <si>
    <t>JUNTA MECANICA TIPO DRESSER DIA 8" ACERO SCH-30</t>
  </si>
  <si>
    <t>VALVULAS DE COMPUERTA DE 8" COMPLETA (PN10, VASTAGO FIJO, JUNTAS DRESSER CRIOLLA, 2 NIPLES PLATILLADOS DE 8", JUNTAS DE GOMA Y SUS TORNILLOS)</t>
  </si>
  <si>
    <t>TUBERIA DE 12" ACERO SCH-30</t>
  </si>
  <si>
    <t>M</t>
  </si>
  <si>
    <t>TUBERIA DE 12"CON JUNTA DE GOMA</t>
  </si>
  <si>
    <t>TUBERIA DE 8 " ACERO SCH-40 PARA DESAGUE</t>
  </si>
  <si>
    <t>ANLCAJE H.S. PARA PIEZAS ESPECIALES ( SEGÚN DISEÑO)</t>
  </si>
  <si>
    <t>NIPLES ACERO 12" X 3" SCH-30</t>
  </si>
  <si>
    <t>NIPLES ACERO 8" X 3" SCH-30</t>
  </si>
  <si>
    <t>MANO DE OBRA PLOMERO Y SOLDADOR (INCLUYE NIPLES)</t>
  </si>
  <si>
    <t>REGISTRO MURO BLOCK 6" (1.20X1.20X1.50) M (SEGÚN DISEÑO)</t>
  </si>
  <si>
    <t>REGISTRO MURO BLOCK 8" (3.0X2.20X1.50) M</t>
  </si>
  <si>
    <t>TAPA DE ALUMINIO (0.8X0.8) M PARA REGISTRO</t>
  </si>
  <si>
    <t>TAPA DE ALUMINIO (0.6X0.6) M PARA REGISTRO</t>
  </si>
  <si>
    <t>ESCALERA INTERIOR HIERRO GALVANIZADO DE 3/4" H= 4.00 M</t>
  </si>
  <si>
    <t>ESCALERA EXTERIOR HIERRO GALVANIZADO DE 3/4" H= 2.50 M</t>
  </si>
  <si>
    <t>MOVIMIENTO DE TIERRA PARA TUBERIA</t>
  </si>
  <si>
    <t>SUMINISTRO Y COLOCACION ASIENTO DE ARENA E= 0.10M</t>
  </si>
  <si>
    <t xml:space="preserve">D </t>
  </si>
  <si>
    <t>INTERCONCEXION A LINEA DE 20"</t>
  </si>
  <si>
    <t>PICADO DE CALLE CONEXIÓN A TUBERIA, SUMINISTRO Y COLOCACION DE TEE REDUCTORA 20" A 12" EN HN, ADECUACION Y REHABILITACION DE CALLE</t>
  </si>
  <si>
    <t>ASIENTO DE GRAVA DE 10 CM</t>
  </si>
  <si>
    <t>PIEZAS ESPECIALES ( SUMINISTRO Y COLOCACION)</t>
  </si>
  <si>
    <t>VALVULAS DE AIRE DE 2"250 PSI DE TRIPLE FUNCION, COMPLETA CON SU NIPLE Y VALVULA DE BOLA</t>
  </si>
  <si>
    <t>VALVULAS DE AIRE DE 1"250 PSI DE TRIPLE FUNCION, COMPLETA CON SU NIPLE Y VALVULA DE BOLA</t>
  </si>
  <si>
    <t>VALVULA MARIPOSA 20" TIPO MARIPOSA, VASTAGO FIJO CON CUADRANTE INCLUYE: NIPLES PLATILLADOS, JUNTAS DE GOMA, TORNILLOS Y JUNTAS DRESSER CRIOLLAS.</t>
  </si>
  <si>
    <t>BOMBA SUMERGIBLE DE 400 GPM Y 300 TDH, PANEL DE CONTROL CON CABLE DE PANEL A MOTOR DE 120 PIES, CONTROL DE FASE, 100 PIES DE COLUMNAS DE DIAMETRO EN FUNCION DE LA BOMBA</t>
  </si>
  <si>
    <t>CHEQUE HORIZONTAL 8" PLATILLADO COMPLETO (PN 10, ASIENTO EN BRONCE, NIPLES PLATILLADOS, JUNTAS DE GOMA Y SUS TORNILLOS)</t>
  </si>
  <si>
    <t>VALVULAS COMPUERTA 8"  COMPLETA ( PN 10, VASTAGO FIJO, JUNTAS DRESSER CRIOLLA, 2 NIPLES PLATILLADOS DE 8", JUNTAS DE GOMAS Y SUS TORNILLOS)</t>
  </si>
  <si>
    <t>SUMINISTRO E INSTALACION DE MANIFOLD DE 8". INCLUIR MANOMETRO DE 0-200 PSI</t>
  </si>
  <si>
    <t>PILAR PARA INSTALACION DE PANEL DE CONTROL EN H.A. 210 KG/CM2 (0.5X1.8X0.20) 3/8 A 20 AD (INCLUIR ZAPATA 1.2X1.2X0.25)</t>
  </si>
  <si>
    <t>CERCADO DE AREA DE ESTACION DE BOMBEO 4MX4M EN MALLA CICLONICA 6 PIES</t>
  </si>
  <si>
    <t>SUMINISTRO E INSTALACION DE MANIFOLD DE 8". INCLUIR MANOMETRO DE 0-200 PSI.</t>
  </si>
  <si>
    <t xml:space="preserve">H </t>
  </si>
  <si>
    <t>Pág. 02/02</t>
  </si>
  <si>
    <t>ACUEDUCTO MARIA LA O</t>
  </si>
  <si>
    <t xml:space="preserve">LIQUIDACION DE OBREROS </t>
  </si>
  <si>
    <t>TOTAL GENERAL PRESUPUESTADO</t>
  </si>
  <si>
    <t xml:space="preserve">TOTAL GENERAL CUBICADO </t>
  </si>
  <si>
    <t xml:space="preserve"> OLIVER JOSE NAZARIO BRUGAL</t>
  </si>
  <si>
    <t>DIRECTOR GENERAL</t>
  </si>
  <si>
    <t>AMPLIACION ACUEDUCTO LA CATALINA</t>
  </si>
  <si>
    <t>RD$16,490,796.77</t>
  </si>
  <si>
    <t>OCTUBRE 11, 2023</t>
  </si>
  <si>
    <t>004/2022</t>
  </si>
  <si>
    <t>SUSAN DEL PILAR MORONTA DE POLANCO</t>
  </si>
  <si>
    <t>CASETA DE MATERIALES</t>
  </si>
  <si>
    <t>PREPARACION DE CAMINO DE ACCESO</t>
  </si>
  <si>
    <t xml:space="preserve">CONFECCION DE LETRERO Y ROTULO PARA IDENTIFICACION </t>
  </si>
  <si>
    <t>DEMOLICION Y BOTE DE OBRA DE TOMA EXISTENTE</t>
  </si>
  <si>
    <t>SUBTOTAL PRELIMINARES</t>
  </si>
  <si>
    <t>CARCAMO DE BOMBEO</t>
  </si>
  <si>
    <t>CONSTRUCION DE CARCAMO DE BOMBEO TUBERIA H.S DE 48" X 6.5 MTS DE PROFUNDIDAD BAJO NIVEL DE PISO Y 2.50 MTS SOBRE NIVEL DE PISO</t>
  </si>
  <si>
    <t>USO DE GRUA</t>
  </si>
  <si>
    <t>HR</t>
  </si>
  <si>
    <t>CONSTRUCCION DE CASETA SOPORTE DE PANEL BOMBEO</t>
  </si>
  <si>
    <t>MALLA PERIMETRAL CARCAMO (5MTX5MT)</t>
  </si>
  <si>
    <t>SUMINISTRO Y COLOCACION MANOMETRO SUMERGIDO EN GLICERINA</t>
  </si>
  <si>
    <t xml:space="preserve">CONSTRUCCION DE CASETA DE CLORACION </t>
  </si>
  <si>
    <t>SISTEMA DE CLORACION POR SOLUCION CON CAPACIDAD DE DOSIFICACION DE 0 A</t>
  </si>
  <si>
    <t>ELECTROBOMBA CENTRIFUGA VERTICAL NO AUTOCEBANTE, CON IMPULSIONES Y C</t>
  </si>
  <si>
    <t>SUM E INSTA. DE VALVULA DE COMPUERTA DE 6" COMPLETA PARA LA SALIDA DE LA|</t>
  </si>
  <si>
    <t>SUBTOTAL CARCAMO DE BOMBEO</t>
  </si>
  <si>
    <t>PLATAFORMA PARA ELEVAR CARCAMO SEGÚN DISEÑO</t>
  </si>
  <si>
    <t>EXCAVACION A MANO</t>
  </si>
  <si>
    <t>RELLENO COMPACTADO</t>
  </si>
  <si>
    <t>ZAPATAS MUROS 8" 0.60M X 0.25M HORMIGON 1:2:4 CON LIGADORA</t>
  </si>
  <si>
    <t>MUROS DE HORMIGON ARMADO DE 0.20M ESPESOR 3/8 @0.20M A.D Y A.C 210 KG/CM2</t>
  </si>
  <si>
    <t>LOSA HA E= 0.15M 3/8 @ 0.25M AD HORMIGON INDUSTRIAL 210 KG/CM2</t>
  </si>
  <si>
    <t>EMPAÑETE PULIDO</t>
  </si>
  <si>
    <t>PINTURA ACRILICA PREPARADA INT/EXT</t>
  </si>
  <si>
    <t>ESCALERA METALICA</t>
  </si>
  <si>
    <t>RECUBRIMIENTO DE TUBO EN HORMIGON E= 0.12M 3/8@ 0.25M AD</t>
  </si>
  <si>
    <t>LOSA DE PLATAFORMA NIVEL DE PISO PARA PROTECCION DE TUBERIA DE POZO HA E= 0.20M 3/8@0.25M EN A.D. FROTADO 1:2:4 CON LIGADORA</t>
  </si>
  <si>
    <t>ANCLAJE 0.8X1.0X0.8 MTS PARA TUBERIA SALIDA DE PLATAFORMA (SUMINISTROS Y COLOCACION)</t>
  </si>
  <si>
    <t>SUBTOTAL PLATFORMA</t>
  </si>
  <si>
    <t>OBRA DE TOMA</t>
  </si>
  <si>
    <t>ADECUACION DE TERRENO PARA ENCOFRADO Y VACIADO</t>
  </si>
  <si>
    <t>USO DE BOMBA DE ACHIQUE</t>
  </si>
  <si>
    <t>HORMIGON INDUSTRIAL 210 KG/CM2+10% DESP.</t>
  </si>
  <si>
    <t>ACERO 1/2 @15CM AD</t>
  </si>
  <si>
    <t>QQ</t>
  </si>
  <si>
    <t>ALAMBRE DULCE NO.18</t>
  </si>
  <si>
    <t>LB</t>
  </si>
  <si>
    <t>ENCOFRADO Y DESENCOFRADO</t>
  </si>
  <si>
    <t>TUBERIA DE 6" ACERO</t>
  </si>
  <si>
    <t>MANO DE OBRA</t>
  </si>
  <si>
    <t>GAVIONES</t>
  </si>
  <si>
    <t>DESVIO DEL RIO CON ATAGUIAS</t>
  </si>
  <si>
    <t xml:space="preserve">CAMARA DE LIMPIEZA </t>
  </si>
  <si>
    <t>SUM E INT. DE VALVULA DE COMPUERTA DE 6" COMPLETA PARA LA SALIDA DE LA</t>
  </si>
  <si>
    <t xml:space="preserve">SUM E INT DE VALVULA DE COMPUERTA DE 8" COMPLETA PARA LA OBRA DE TOMA </t>
  </si>
  <si>
    <t>SUM E INST. DE REJILLA</t>
  </si>
  <si>
    <t>SUBTOTAL OBRA DE TOMA</t>
  </si>
  <si>
    <t>POZOS NUEVOS A PERFORAR 2 UNIDADES</t>
  </si>
  <si>
    <t>PERFORACION POZO ACERO 12"</t>
  </si>
  <si>
    <t>PL</t>
  </si>
  <si>
    <t>HINCADO DE TUBERIA 12" ACERO</t>
  </si>
  <si>
    <t>RANURADO, CORTE Y SOLDADURA DE TUBERIA 12"</t>
  </si>
  <si>
    <t>SUMINISTRO DE ZAPARA</t>
  </si>
  <si>
    <t>SUMINISTRO DE TUBERIA DE 12" ACERO 3/8</t>
  </si>
  <si>
    <t>PRUEBA DE AFORO 24 H</t>
  </si>
  <si>
    <t>ANALISIS FIS-QUIMICO Y BACTERIOLOGICO-AGUAS</t>
  </si>
  <si>
    <t>INFORME TECNICO CON SUS CONCLUSIONES Y RECOMENDACIONES</t>
  </si>
  <si>
    <t xml:space="preserve">SUMINISTRO DE AGUA PARA LA PERFORACION </t>
  </si>
  <si>
    <t>SUBTOTAL POZOS NUEVOS</t>
  </si>
  <si>
    <t>TRABAJOS EN CISTERNA Y ESTACION DE BOMBEO</t>
  </si>
  <si>
    <t>LIMPIEZA DE AREAS EN GENERAL</t>
  </si>
  <si>
    <t xml:space="preserve">PINTURA </t>
  </si>
  <si>
    <t>REHABILITACION DE EQUIPOS Y PIEZAS ESPECIALES</t>
  </si>
  <si>
    <t>SUBTOTAL CISTERNA Y ESTACION</t>
  </si>
  <si>
    <t>ELECTROMECANICO</t>
  </si>
  <si>
    <t>TRABAJOS ELECTROMECANICOS GENERAL Y HABILITACION COMPLETA DE POZOS</t>
  </si>
  <si>
    <t>ADICIONALES POR  NUEVAS PARTIDAS</t>
  </si>
  <si>
    <t>PARTIDAS PRESUPUESTO</t>
  </si>
  <si>
    <t>P.U. RD$</t>
  </si>
  <si>
    <t>1.,00</t>
  </si>
  <si>
    <t>PREMILINARES</t>
  </si>
  <si>
    <t>PINTURA EDIFICIO PLANTA DE TRATAMIENTO</t>
  </si>
  <si>
    <t>REPARACION MALL CICLONICA Y TRINCHERAS</t>
  </si>
  <si>
    <t>LIMPIEZA , REPARACION Y MANTENIMIENTO FOSAS 1</t>
  </si>
  <si>
    <t>LIMPIEZA, REPARACION Y MANTENIMIENTO DE FOSAS 2</t>
  </si>
  <si>
    <t>LIMPIEZA, REPARACION Y MANTENIMIENTO DE CISTERNA 1</t>
  </si>
  <si>
    <t>LIMPIEZA, REPARACION Y MANTENIMIENTO DE CISTERNA 2</t>
  </si>
  <si>
    <t>REPARACION Y MANTENIMIENTO BAÑOS</t>
  </si>
  <si>
    <t>REPARACION Y MANTENIMIENTO PUERTAS</t>
  </si>
  <si>
    <t>REPARACION Y MANTENIMIENTO VENTANAS</t>
  </si>
  <si>
    <t>LIMPIEZA, REPARACION Y MANTENIMIENTO TECHOS</t>
  </si>
  <si>
    <t xml:space="preserve">REPARACION Y MANTENIMIENTO LUMINARIAS Y TOMACORRIENTES </t>
  </si>
  <si>
    <t>LIMPIEZA, REPARACION Y MANTENIMIENTO BARANDAS Y PASAMANOS</t>
  </si>
  <si>
    <t>REPARACION Y MANTENIMIENTO PORTAL ACCESO</t>
  </si>
  <si>
    <t xml:space="preserve">SUBTOTAL ADICIONALES  </t>
  </si>
  <si>
    <t>13 de Octubre, 2023</t>
  </si>
  <si>
    <t xml:space="preserve">                                                                                          SUB-TOTAL GENERAL PRESUPUESTO + ADICIONALES </t>
  </si>
  <si>
    <t>AMPLIACION AGUA RESIDUALES CAMINO LOS LLIBRE, SOSUA</t>
  </si>
  <si>
    <t>RD$12,094,531.73</t>
  </si>
  <si>
    <t>OCTUBRE 30, 2023</t>
  </si>
  <si>
    <t>008/2022</t>
  </si>
  <si>
    <t>QUACON, S.R.L</t>
  </si>
  <si>
    <t>RED DE ALCANTARILLADO SANITARIO</t>
  </si>
  <si>
    <t>MANEJO DEL TRNASITO</t>
  </si>
  <si>
    <t>LIMPIEZA GENERAL Y CONTINUA</t>
  </si>
  <si>
    <t>SUBTOTAL MOVIEMIENTO DE TIERA</t>
  </si>
  <si>
    <t>TUBERIA PVC-SDR 26 12" +5% POR CAMP</t>
  </si>
  <si>
    <t>SUBTOTAL SUMINISTRO Y COLOC</t>
  </si>
  <si>
    <t>ASFALTO-TODO COSTO</t>
  </si>
  <si>
    <t>CORTE DE ASFALTO CON MAQUINA (E=4") AMBOS LADOS</t>
  </si>
  <si>
    <t>RIEGO DE ADHERENCIA</t>
  </si>
  <si>
    <t>SUMINISTRO DE HORMIGON EN CALIENTE EN PLANTA</t>
  </si>
  <si>
    <t>COLOCACION CARPETA ASFALTICA EN CALIENTE -TODO COSTO 4 PULG</t>
  </si>
  <si>
    <t>SUBTOTAL ASFALTO</t>
  </si>
  <si>
    <t>CONFECCION REGISTROS 1@2 MTS CADA 100 ML</t>
  </si>
  <si>
    <t>REGISTRO FABRICADOS A MANO</t>
  </si>
  <si>
    <t>SUBTOTAL CONFECCION</t>
  </si>
  <si>
    <t>EMPALME A RED PRINCIPAL EN CARRETERA PUERTO PLATA/SOSUA</t>
  </si>
  <si>
    <t>PICADO DE CALLE, CONEXIÓN A REGISTRO, ADECUACION Y REHABILITACION DE REGISTRO Y CALLE</t>
  </si>
  <si>
    <t xml:space="preserve">AMPLIACION AGUA RESIDUALES CAMINO LOS LLIBRE, SOSUA
</t>
  </si>
  <si>
    <t xml:space="preserve">SUB-TOTAL GENERAL PRESUPUESTO </t>
  </si>
  <si>
    <t>N</t>
  </si>
  <si>
    <t>15 de Noviembre, 2023</t>
  </si>
  <si>
    <t>PERFORACION DE 3 POZOS</t>
  </si>
  <si>
    <t>LIMPIEZA GENERAL</t>
  </si>
  <si>
    <t>PERFORACION DE POZOS A ROTACION</t>
  </si>
  <si>
    <t>HINCADO DE TUBERIA DE 8"</t>
  </si>
  <si>
    <t xml:space="preserve">PL </t>
  </si>
  <si>
    <t>RANURADO Y CORTES TUBERIAS</t>
  </si>
  <si>
    <t>SUMINISTRO DE TUBERIAS PVC 8" SDR-26</t>
  </si>
  <si>
    <t>ANALISIS FIS-QUIIMICO Y BACTERIOLOGICO-AGUA</t>
  </si>
  <si>
    <t>SUMINISTRO DE AGUA PARA LA PERFORACION</t>
  </si>
  <si>
    <t>PREPARACION BASE DE POZOS</t>
  </si>
  <si>
    <t>PRUEBA DE CAUDAL DE POZO</t>
  </si>
  <si>
    <t xml:space="preserve">SUBTOTAL PERFORACION </t>
  </si>
  <si>
    <t xml:space="preserve">LAS PARTIDAS EN ROJO NO SE RELAIZARAN </t>
  </si>
  <si>
    <t>EN LOS PROXIMOS DIAS SE ESTARA REALIZANDO UN PRESUPUESTO REFORMULADO</t>
  </si>
  <si>
    <t xml:space="preserve">                                                                              SUB-TOTAL GENERAL PRESUPUESTO + ADICIONALES </t>
  </si>
  <si>
    <t>.</t>
  </si>
  <si>
    <t>Pag 1/2</t>
  </si>
  <si>
    <t xml:space="preserve">CONSTRUCCIÓN DEL EDIFICIO GENERAL DE OPERACIÓN DE CORAAPPLATA, SAN
FELIPE DE PUERTO PLATA. PROVINCIA DE PUERTO PLATA”
</t>
  </si>
  <si>
    <t>RD$ 61,897.862.59</t>
  </si>
  <si>
    <t>noviembre 14, 2023</t>
  </si>
  <si>
    <t>001/2022</t>
  </si>
  <si>
    <t>MARIO JOSE HURTADO IMBERT</t>
  </si>
  <si>
    <t>Desbroce de terreno y capa vegetal 0.20m</t>
  </si>
  <si>
    <t>Charrancha y replanteo</t>
  </si>
  <si>
    <t>Fumigación general</t>
  </si>
  <si>
    <t>Verja perimetral (proteccion de obra)</t>
  </si>
  <si>
    <t>MOVIMIENTOS DE TIERRA</t>
  </si>
  <si>
    <t>Excavaciones de fundaciones (Corte y nivelacion de terreno)</t>
  </si>
  <si>
    <t>Carga y bote de material sobrante excav.</t>
  </si>
  <si>
    <t>M3E</t>
  </si>
  <si>
    <t>Relleno de reposición en fundaciones</t>
  </si>
  <si>
    <t>M3C</t>
  </si>
  <si>
    <t>HORMIGON ARMADO</t>
  </si>
  <si>
    <t>Zapata de muro de 0.30 m</t>
  </si>
  <si>
    <t>SOTANO</t>
  </si>
  <si>
    <t>Columnas 45x45</t>
  </si>
  <si>
    <t>Muros de 0.30 m</t>
  </si>
  <si>
    <t>Muros de 0.20 m</t>
  </si>
  <si>
    <t>Vigas 25x45</t>
  </si>
  <si>
    <t>Rampa de Escalera</t>
  </si>
  <si>
    <t>Losa de cimentacion 30 cm</t>
  </si>
  <si>
    <t>Losa aligerada de techo</t>
  </si>
  <si>
    <t>MAMPOSTERIA</t>
  </si>
  <si>
    <t>Muros de 6" con bastones 3/8"@0.60m</t>
  </si>
  <si>
    <t>TERMINACIONES DE SUPERFICIE</t>
  </si>
  <si>
    <t>Fraguache en elementos H.A.</t>
  </si>
  <si>
    <t>Empañete de mezcla maestreado en paredes interiores</t>
  </si>
  <si>
    <t>Cantos y mochetas</t>
  </si>
  <si>
    <t>REVESTIMIENTOS</t>
  </si>
  <si>
    <t>Ceramica en paredes baños</t>
  </si>
  <si>
    <t>Ceramica en paredes cocinas</t>
  </si>
  <si>
    <t>Cristal templado en paredes exterior</t>
  </si>
  <si>
    <t>P2</t>
  </si>
  <si>
    <t>Cristal templado en paredes de division interior</t>
  </si>
  <si>
    <t>Paredes En Sheetrock</t>
  </si>
  <si>
    <t>Plafon techos de baños</t>
  </si>
  <si>
    <t>PISOS</t>
  </si>
  <si>
    <t>Piso en Ceramica Europea Economica</t>
  </si>
  <si>
    <t>Zocalos en Ceramica Europea Economica</t>
  </si>
  <si>
    <t>Piso cerámica en baño</t>
  </si>
  <si>
    <t>PUERTAS</t>
  </si>
  <si>
    <t>Puerta entrada doble hoja 2.1 mt flotante de cristal</t>
  </si>
  <si>
    <t>Puertas interiores 1 mt</t>
  </si>
  <si>
    <t>Puertas flotantes en Cristal templado</t>
  </si>
  <si>
    <t>VENTANAS</t>
  </si>
  <si>
    <t>Ventana proyectada aluminio y vidrio Perfiles P40</t>
  </si>
  <si>
    <t>ESCALERA</t>
  </si>
  <si>
    <t>Escalon granito gris</t>
  </si>
  <si>
    <t>Descansos en Ceramica Europea Economica</t>
  </si>
  <si>
    <t>PINTURA</t>
  </si>
  <si>
    <t>Pintura Acrilica interior en parede y techos</t>
  </si>
  <si>
    <t>INSTALACIONES SANITARIAS</t>
  </si>
  <si>
    <t>Baños</t>
  </si>
  <si>
    <t>Tope en malmolite</t>
  </si>
  <si>
    <t>Inodoro  + Salidas</t>
  </si>
  <si>
    <t>Lavamanos  + Salidas</t>
  </si>
  <si>
    <t>Desague De Piso 2" Parrilla</t>
  </si>
  <si>
    <t>Orinal Pequeño + Salidas Ap Y An</t>
  </si>
  <si>
    <t>Camara De Inspeccion 0.70x0.70x0.70 Caliche</t>
  </si>
  <si>
    <t>Miscelanios, espejos y diviciones</t>
  </si>
  <si>
    <t>Cocina</t>
  </si>
  <si>
    <t>Gabinetes de piso y pared MDF</t>
  </si>
  <si>
    <t>Fregadero Acero Inox. Sencillo + Salidas</t>
  </si>
  <si>
    <t>Trampa De Grasa 1.00x1.00x1.00 Caliche</t>
  </si>
  <si>
    <t>INSTALACIONES ELECTRICAS</t>
  </si>
  <si>
    <t>Luz Cenital</t>
  </si>
  <si>
    <t>Interruptor Sencillo</t>
  </si>
  <si>
    <t>Interruptor Doble</t>
  </si>
  <si>
    <t>Interruptor Triple</t>
  </si>
  <si>
    <t>Interruptor Tres Vias</t>
  </si>
  <si>
    <t>Tomacorriente Doble 110v</t>
  </si>
  <si>
    <t>Tomacorriente Sencillo 220v</t>
  </si>
  <si>
    <t>Salida Telefono DATA</t>
  </si>
  <si>
    <t>Panel Distribucion 24 Espacios</t>
  </si>
  <si>
    <t>NIVEL N1</t>
  </si>
  <si>
    <t>Bajante y ventilación</t>
  </si>
  <si>
    <t>NIVEL N2</t>
  </si>
  <si>
    <t>NIVEL N3</t>
  </si>
  <si>
    <t>EXTERIORES, TERMINACIONES DE TECHO Y
MISCELANEOS</t>
  </si>
  <si>
    <t>TERMINACIONES DE TECHO</t>
  </si>
  <si>
    <t>Fino de techo plano</t>
  </si>
  <si>
    <t>Zabaletas de techo</t>
  </si>
  <si>
    <t>Impermeabilizante</t>
  </si>
  <si>
    <t>PINTURA EXTERIOR</t>
  </si>
  <si>
    <t>Pintura Acrilica exterior</t>
  </si>
  <si>
    <t>SUBIDA DE MATERIALES</t>
  </si>
  <si>
    <t>Subida de materiales a Nivel 1</t>
  </si>
  <si>
    <t>Subida de materiales a Nivel 2</t>
  </si>
  <si>
    <t>Subida de materiales a Nivel 3</t>
  </si>
  <si>
    <t>MISCELANEOS</t>
  </si>
  <si>
    <t>Ascensoror</t>
  </si>
  <si>
    <t>Barandas en acero</t>
  </si>
  <si>
    <t>Fachada exterior (logo, cubre Sol y elementos no
estructurales)</t>
  </si>
  <si>
    <t>SUBTOTAL MISCELANEO</t>
  </si>
  <si>
    <t xml:space="preserve">ADICIONALES POR AUMENTO DE VOLUMEN/PARTIDA NUEVA </t>
  </si>
  <si>
    <t xml:space="preserve">PARTIDAS </t>
  </si>
  <si>
    <t xml:space="preserve">SOTANO </t>
  </si>
  <si>
    <t>Hormigon armado</t>
  </si>
  <si>
    <t xml:space="preserve">hormigon de limpieza </t>
  </si>
  <si>
    <t xml:space="preserve">Preliminares </t>
  </si>
  <si>
    <t xml:space="preserve">letrero de obra 4x8 pies </t>
  </si>
  <si>
    <t>und</t>
  </si>
  <si>
    <t xml:space="preserve">caseta de materiales </t>
  </si>
  <si>
    <t xml:space="preserve">Baños provisionales </t>
  </si>
  <si>
    <t>carga y bote material de desbroce</t>
  </si>
  <si>
    <t>Movimiento de tierra</t>
  </si>
  <si>
    <t xml:space="preserve">Excavacion (corte y nivelacion terreno) con equipo </t>
  </si>
  <si>
    <t>Carga y bote material sobrante excavacion con equipo</t>
  </si>
  <si>
    <t>Suministro y colocacion de relleno</t>
  </si>
  <si>
    <t>Fosa ascensor ejecutivo</t>
  </si>
  <si>
    <t xml:space="preserve">Platea fosa </t>
  </si>
  <si>
    <t xml:space="preserve">Muro de hormigon de 30 cm </t>
  </si>
  <si>
    <t>Fosa ascensor Panoramico</t>
  </si>
  <si>
    <t xml:space="preserve">Muro de hormigon de 25 cm </t>
  </si>
  <si>
    <t xml:space="preserve">Diseño de planos, estudios generales y control de calidad </t>
  </si>
  <si>
    <t>Rediseño y modificaciones de planos</t>
  </si>
  <si>
    <t>Estudio de suelo</t>
  </si>
  <si>
    <t>Control de calidad proyecto( Incluye proctor, analisis del hormigon )</t>
  </si>
  <si>
    <t xml:space="preserve">SUBTOTAL GENERAL DE ADICIONALES 1 </t>
  </si>
  <si>
    <t>TOTAL A PAGAR EN CUBICACION 03</t>
  </si>
  <si>
    <t>NOVIEMBRE 30, 2023</t>
  </si>
  <si>
    <t xml:space="preserve">                                                                                                     ADICIONALES POR NUEVAS PARTIDAS/AUMENTO DE VOLUMEN/CAMBIO DE PARTIDA</t>
  </si>
  <si>
    <t xml:space="preserve">NOTA </t>
  </si>
  <si>
    <t xml:space="preserve">LAS PARTIDAS MARCADAS EN ROJO NO SE SERAN EJECUTADAS </t>
  </si>
  <si>
    <t>Pág. 01/03</t>
  </si>
  <si>
    <t>AMPLIACION DEL SISTEMA DE ABASTECIMIENTO DE AGUA POTABLE DE GUANANICO, PUERTO PLATA</t>
  </si>
  <si>
    <t>003/2022</t>
  </si>
  <si>
    <t>ING. ANEUDY SANTOS</t>
  </si>
  <si>
    <t>INGENIERIA</t>
  </si>
  <si>
    <t>MES</t>
  </si>
  <si>
    <t>LEVANTAMIENTO TOPOGRAFICO</t>
  </si>
  <si>
    <t>KM</t>
  </si>
  <si>
    <t>CAMPAMENTO</t>
  </si>
  <si>
    <t>REHABILITACION DE GALERIA EXISTENTE</t>
  </si>
  <si>
    <t>ALQUILER DE RETRO-EXCAVADORA</t>
  </si>
  <si>
    <t>TUBO 16" PVC SDR-26</t>
  </si>
  <si>
    <t>TUBO 8" SDR-26</t>
  </si>
  <si>
    <t>REPOSICION DE GAVIONES</t>
  </si>
  <si>
    <t>MANO DE  OBRA DE ORIFICIOS A TUBERIA</t>
  </si>
  <si>
    <t>SUBTOTAL REHABILITACION</t>
  </si>
  <si>
    <t xml:space="preserve">AMPLIACION DE CASETA DE LA GALERIA </t>
  </si>
  <si>
    <t>AMPLIACION DE GALERIA</t>
  </si>
  <si>
    <t>SUBTOTAL AMPLIACION</t>
  </si>
  <si>
    <t>REHABILITACION DE CASETA DE BOMBEO</t>
  </si>
  <si>
    <t>PISO PULIDO Y MANO DE OBRA 4X6</t>
  </si>
  <si>
    <t>CALZADA DE ENTRADA Y MANO DE OBRA 3.5X1.2</t>
  </si>
  <si>
    <t>PICADO DE PAÑETE EXISTENTE EN LOSA</t>
  </si>
  <si>
    <t>PLATAFORMA DE BOMBA 1.5X1.5 HA E=0.15M 3/8 @0.25M EN</t>
  </si>
  <si>
    <t>FRAGUACHE</t>
  </si>
  <si>
    <t>PAÑETE</t>
  </si>
  <si>
    <t>FINO EN TECHO</t>
  </si>
  <si>
    <t>PINTURA EPOXICA</t>
  </si>
  <si>
    <t>SUMINISTRO DE VENTANAS EN HIERRO Y COLOCACION</t>
  </si>
  <si>
    <t xml:space="preserve">SUMINISTRO EN PUERTA EN HIERRO Y COLOCACION </t>
  </si>
  <si>
    <t>ILUMINACION INTERNA Y EXTERNA</t>
  </si>
  <si>
    <t>VALVULA PLATILLADA VASTAGO ASCENDENTE 4"</t>
  </si>
  <si>
    <t>SUBTOTAL REHABILITACION CASETA DE BOMBEO</t>
  </si>
  <si>
    <t>INSTALACION ELECTROMECANICA</t>
  </si>
  <si>
    <t>MALLA CICLONICA</t>
  </si>
  <si>
    <t>ARRANCADOR SUAVE A460V PARA 100HP TRIFASICO</t>
  </si>
  <si>
    <t>MOTOBOMBA COMPLETA 300GPM Y 240´DE TDH</t>
  </si>
  <si>
    <t>PLATILLOS DE 8" PARA SOLDAR</t>
  </si>
  <si>
    <t>PLATILLOS DE 3" PARA SOLDAR</t>
  </si>
  <si>
    <t xml:space="preserve">VALVULA DE 8" PLATILLADA </t>
  </si>
  <si>
    <t xml:space="preserve">VALVULA DE 3" PLATILLADA </t>
  </si>
  <si>
    <t>VALVULA CHEQUE DE CIERRE LENTO DE 8" PLATILLADA</t>
  </si>
  <si>
    <t>TORNILLOS DE 3/4X3 CON SU TUERCA</t>
  </si>
  <si>
    <t>TUBERIA DE ACERO DIAMETRO 8" X20X3/8</t>
  </si>
  <si>
    <t>JUNTA DRESSER DE 8 AMERICANA</t>
  </si>
  <si>
    <t>VALVULA SUPRESORA DE PRESION DE 8</t>
  </si>
  <si>
    <t>MAQUINA PARA SOLDAR</t>
  </si>
  <si>
    <t>DIA</t>
  </si>
  <si>
    <t>EQUIPO DE CORTE</t>
  </si>
  <si>
    <t>SUBTOTAL INSTALACION ELECTROMECANICA</t>
  </si>
  <si>
    <t>INSTALACION ELECTRICA DE MEDIA TENSION</t>
  </si>
  <si>
    <t>SUMINISTRO E INSTALACION TRANSFORMADOR DE 3*50KVA 7200/12400-240/480V EN POSTE</t>
  </si>
  <si>
    <t>BASE PARA TRANSFORMADOR</t>
  </si>
  <si>
    <t xml:space="preserve">BASE METALICA PARA CUT-OUT Y PARRARAYO </t>
  </si>
  <si>
    <t>USO DE GRUA PARA SUBIR LOS TRANSFORMADORES</t>
  </si>
  <si>
    <t>POSTE HAV-500-12</t>
  </si>
  <si>
    <t>POSTE HAV-800-12</t>
  </si>
  <si>
    <t>ALAMBRE AAAC #4/0</t>
  </si>
  <si>
    <t>PIE</t>
  </si>
  <si>
    <t>ESTRUCTURA TIPO MT-316</t>
  </si>
  <si>
    <t>ESTRUCTURA TIPO MT-307</t>
  </si>
  <si>
    <t>ESTRUCTURA TIPO MT-302</t>
  </si>
  <si>
    <t>ESTRUCTURA TIPO MT-322</t>
  </si>
  <si>
    <t>ESTRUCTURA TIPO MT-202</t>
  </si>
  <si>
    <t>ESTRUCTURA HA-100</t>
  </si>
  <si>
    <t>SISTEMA DE TIERRA</t>
  </si>
  <si>
    <t>HOYO PARA VIENTO Y POSTE</t>
  </si>
  <si>
    <t>ADAPTADOR PVC HEMBRA DE 2"</t>
  </si>
  <si>
    <t>VACIADO HORMIGON EN FIJACION POSTES</t>
  </si>
  <si>
    <t>MATERIALES VARIOS</t>
  </si>
  <si>
    <t>SUBTOTAL MEDIA TENSION</t>
  </si>
  <si>
    <t>INSTALACION ELECTRICA DE BAJA TENSION</t>
  </si>
  <si>
    <t>ALIMENTADOR DESDE TRANSFORMADOR A ENCLOSURE BREAKER</t>
  </si>
  <si>
    <t>CONDULET DE 2</t>
  </si>
  <si>
    <t>ALAMBRE AWG #3/0</t>
  </si>
  <si>
    <t>TUBO IMC DE 2*10</t>
  </si>
  <si>
    <t>TUBO EMT DE 2*10</t>
  </si>
  <si>
    <t>CONECTOR EMT DE 2</t>
  </si>
  <si>
    <t>TUERCA BUSHING DE 2</t>
  </si>
  <si>
    <t>RIEL UNITRUD DE 3/4</t>
  </si>
  <si>
    <t>ABRAZADERA UNITRUD DE 2</t>
  </si>
  <si>
    <t>ENCLOUSURE BREAKER DE 200 AMPS, 3 F, 600V, NEMA-1</t>
  </si>
  <si>
    <t>TUBERIA SDR26 DE 2" *19´</t>
  </si>
  <si>
    <t xml:space="preserve"> UD</t>
  </si>
  <si>
    <t>EXCAVACION DE 60*0.80*0.60</t>
  </si>
  <si>
    <t>TAPADO ZANJA</t>
  </si>
  <si>
    <t>CURVA PVC DE 2"</t>
  </si>
  <si>
    <t>SUBTOTAL BAJA TENSION</t>
  </si>
  <si>
    <t>ALIMENTADOR DESDE ENCLOSURE BRERAKER A PANEL DE ARRANQUE</t>
  </si>
  <si>
    <t>CURVA EMT DE 2"</t>
  </si>
  <si>
    <t>RIEL UNITRUID DE 3/4</t>
  </si>
  <si>
    <t>SUBTOTAL ALIMENTADOR</t>
  </si>
  <si>
    <t>ALIMENTADOR DESDE ARRANCADOR A MOTOR 1</t>
  </si>
  <si>
    <t>ALAMBRE AWG#2/0</t>
  </si>
  <si>
    <t>TUBERIA SDR26 DE 2"*19´</t>
  </si>
  <si>
    <t>TUBERIA LT DE 2</t>
  </si>
  <si>
    <t>CONECTOR CURVO LT DE 2</t>
  </si>
  <si>
    <t>CONECTOR RECTO LT DE 2</t>
  </si>
  <si>
    <t>SUBTOTAL ALIMENTADOR 1</t>
  </si>
  <si>
    <t>LINEA DE ADUCCION ( SUMINISTRO Y COLOCACION)</t>
  </si>
  <si>
    <t>TUBERIA DE 6" PVC-SDR26 C/J DE GOMA +5% P/CAMPANA</t>
  </si>
  <si>
    <t>SUBTOTAL LINEA DE ADUCCION</t>
  </si>
  <si>
    <t xml:space="preserve">EXCAVACION CON EQUIPO </t>
  </si>
  <si>
    <t>ASIENTO DE ARENA</t>
  </si>
  <si>
    <t xml:space="preserve">RELLENO COMPACTADO 40% DE EXCAVACION </t>
  </si>
  <si>
    <t>SUMINISTRO MATERIAL C/ TOSCA O CALICHE P/SUST. M.</t>
  </si>
  <si>
    <t xml:space="preserve">RED DE DISTRIBUCION </t>
  </si>
  <si>
    <t>MEJORAMIENTO RED DISTRIBUCION ( SUMINISTRO Y COLOCACION)</t>
  </si>
  <si>
    <t>TUBERIA DE 3# PVC-SDR26 C/J DE GOMA +5% P/ CAMPANA</t>
  </si>
  <si>
    <t>SUBTOTAL RED DE DISTRIBUCION</t>
  </si>
  <si>
    <t>RELLENO COMPACTADO 40% DE EXCAVACION</t>
  </si>
  <si>
    <t>SUMINISTRO MATERIAL C/TOSCA O CALICHE P/SUST. M.</t>
  </si>
  <si>
    <t>ACOMETIDAS</t>
  </si>
  <si>
    <t>SUBTOTAL ACOMETIDAS</t>
  </si>
  <si>
    <t>PIEZAS ESPECIALES</t>
  </si>
  <si>
    <t>CODO 3X45</t>
  </si>
  <si>
    <t>ANCLAJE</t>
  </si>
  <si>
    <t>SUBTOTAL PIEZAS ESPECIALES</t>
  </si>
  <si>
    <t xml:space="preserve"> REHABILITACION DE TANQUE</t>
  </si>
  <si>
    <t>LIMPIEZA DE TERRENO</t>
  </si>
  <si>
    <t>RECONSTRUCCION DE PASARELA EN TOLA</t>
  </si>
  <si>
    <t>VALVULA PLATILLADA DE 3"</t>
  </si>
  <si>
    <t xml:space="preserve"> VALVULA CHECK DE 3"</t>
  </si>
  <si>
    <t>SUBTOTAL REHABILITACION DE TANQUE</t>
  </si>
  <si>
    <t xml:space="preserve">CONSTRUCCION DE TANQUES DE DISTRIBUCION </t>
  </si>
  <si>
    <t>TANQUE SUPERFICIAL  H.A. DE 100M3</t>
  </si>
  <si>
    <t>SUBTOTAL CONSTRUCCION DE TANQUE</t>
  </si>
  <si>
    <t>SUBTOTAL GENERAL PRESUPUESTO</t>
  </si>
  <si>
    <t xml:space="preserve">                                                                                                     ADICIONALES POR NUEVAS PARTIDAS/AUMENTO DE VOLUMEN</t>
  </si>
  <si>
    <t>REHABILITACION DE TANQUE DE DISTRIBUCION</t>
  </si>
  <si>
    <t>PINTURA ANTIOXIDO</t>
  </si>
  <si>
    <t>CONFECCION DE ANDAMIOS</t>
  </si>
  <si>
    <t>REPARACION COLUMNA TANQUE</t>
  </si>
  <si>
    <t>VALVULA VASTAGO FIJO 3" COMPLETA</t>
  </si>
  <si>
    <t>VALVULA VASTAGO FIJO 4" COMPLETA</t>
  </si>
  <si>
    <t xml:space="preserve">CONSTRUCCION DE TANQUES DE ALMACENAMIENTO AGUA LARGA </t>
  </si>
  <si>
    <t>CONSTRUCCION CAMINO DE ACCESO A TANQUE NUEVO AGUA LARGA CON RETRO PALA</t>
  </si>
  <si>
    <t xml:space="preserve">HORAS </t>
  </si>
  <si>
    <t xml:space="preserve">SUBTOTAL CONSTRUCCION DE TANQUES DE ALMACENAMIENTO AGUA LARGA </t>
  </si>
  <si>
    <t xml:space="preserve">CORTE DE ASFALTO </t>
  </si>
  <si>
    <t>REPARACION AVERIA EN LINEA DE 4"</t>
  </si>
  <si>
    <t>REPARACION AVERIA EN LINEA DE 2"</t>
  </si>
  <si>
    <t xml:space="preserve">EMPALME  A TANQUE DE ALMACENAMIENTO DE AGUA LARGA </t>
  </si>
  <si>
    <t>LINEA DE IMPULSION A TANQUE  AGUA LARGA TUBERIA SDR-26 C/J DE GOMA</t>
  </si>
  <si>
    <t>EMPALME  A RED DISTRIBUCION DESDE EL TANQUE AGUA LARGA  TUBERIA SDR-26 C/J DE GOMA</t>
  </si>
  <si>
    <t>ASFALTO</t>
  </si>
  <si>
    <t>RECOLOCACION DE ASFALTO</t>
  </si>
  <si>
    <t>RIEGO DE IMPRIMACION</t>
  </si>
  <si>
    <t xml:space="preserve">M2 </t>
  </si>
  <si>
    <t xml:space="preserve">LINEA DE IMPULSION A TANQUE EXISTENTE </t>
  </si>
  <si>
    <t>REPLANTEO</t>
  </si>
  <si>
    <t xml:space="preserve">SUBTOTAL PRELIMINARES </t>
  </si>
  <si>
    <t>LINEA DE IMPULSION( SUMINISTRO Y COLOCACION)</t>
  </si>
  <si>
    <t>TUBERIA DE 6" PVC-SCH-40 C/J DE GOMA +5% P/CAMPANA</t>
  </si>
  <si>
    <t>SUBTOTAL LINEA DE IMPULSION</t>
  </si>
  <si>
    <t>RELLENO REPOSICION COMPACTADO 40% DE EXCAVACION</t>
  </si>
  <si>
    <t>SUMINISTRO MATERIAL C/TOSCA  COMPACTADO</t>
  </si>
  <si>
    <t>COLOCACION  DE ASFALTO</t>
  </si>
  <si>
    <t>REPOSICION  DE ASFALTO</t>
  </si>
  <si>
    <t>SUMINISTRO E INSTALACION TRANSFORMADOR DE 3*15KVA 7200/12400-240/480V EN POSTE</t>
  </si>
  <si>
    <t xml:space="preserve">EXTRACCION DE POSTE </t>
  </si>
  <si>
    <t xml:space="preserve">HOYO PARA VIENTO </t>
  </si>
  <si>
    <t xml:space="preserve">CUT OUT </t>
  </si>
  <si>
    <t>CONDULET DE 1</t>
  </si>
  <si>
    <t>ALAMBRE AWG #6</t>
  </si>
  <si>
    <t xml:space="preserve">PIES </t>
  </si>
  <si>
    <t>TUBO EMT DE 1/2*10</t>
  </si>
  <si>
    <t>TUBO EMT DE 1*10</t>
  </si>
  <si>
    <t>ABRAZADERA UNITRUD DE 1/2</t>
  </si>
  <si>
    <t>BREAKER ENCLOSURE 100AMP</t>
  </si>
  <si>
    <t xml:space="preserve">BASE PORTA MEDIDOR INDUSTRIAL </t>
  </si>
  <si>
    <t>CANALETA  UNISTRUD DE1 1/2</t>
  </si>
  <si>
    <t xml:space="preserve">PANEL DE CONTROL PARA BOMBAS </t>
  </si>
  <si>
    <t>ALAMBRE #6/4</t>
  </si>
  <si>
    <t xml:space="preserve">MATERIALES VARIOS </t>
  </si>
  <si>
    <t xml:space="preserve">MANO DE OBRA </t>
  </si>
  <si>
    <t xml:space="preserve">UD </t>
  </si>
  <si>
    <t xml:space="preserve">SUMINISTRO E INSTALACION BOMBA DE AGUA LARGA </t>
  </si>
  <si>
    <t xml:space="preserve">PANEL DE CONTROL </t>
  </si>
  <si>
    <t>ALAMBRE #10</t>
  </si>
  <si>
    <t>ALAMBRE DE GOMA #8/3</t>
  </si>
  <si>
    <t xml:space="preserve">VALVULA DE 2" DE BOLA </t>
  </si>
  <si>
    <t>ADAPTADORES LISO DE 2"</t>
  </si>
  <si>
    <t xml:space="preserve">MANO DE OBRAS </t>
  </si>
  <si>
    <t xml:space="preserve">SUMINISTRO DE BOMBA 26GAL/MIN VS 65MTS TDH </t>
  </si>
  <si>
    <t>Pág. 06/06</t>
  </si>
  <si>
    <t>IMPREVISTOS ( SOLO JUSTIFICABLES CON CUBICACION)</t>
  </si>
  <si>
    <t xml:space="preserve">DISEÑO Y ENTREGA A EDENORTE </t>
  </si>
  <si>
    <t>DERECHO INTERCONEXION A EDENORTE</t>
  </si>
  <si>
    <t>ESTUDIOS, DISEÑO Y PLANOS</t>
  </si>
  <si>
    <t>SUPERVISION</t>
  </si>
  <si>
    <t>TOTAL GENERAL</t>
  </si>
  <si>
    <t>SOMETIDO EN CUBICACIONES ANTERIORES</t>
  </si>
  <si>
    <t>Diciembre 04, 2023</t>
  </si>
  <si>
    <t xml:space="preserve">TUBERIA 6 PVC SDR-26 C/JG+5% POR CAMPANA </t>
  </si>
  <si>
    <t xml:space="preserve">CONTINUACION LINEA DE IMPULSION TRAMO  DESDE PLAY LOS CASTILLOS A A TANQUE DE LA MINA </t>
  </si>
  <si>
    <t xml:space="preserve">USO DE COMPRESOR EN EXCAVACION </t>
  </si>
  <si>
    <t xml:space="preserve">LINEA DE DISTRIBUCION TRAMO PLAY HASTA LA MINA  </t>
  </si>
  <si>
    <t>TUBERIA 4" PVC SDR-26 C/JG+5% POR CAMPANA</t>
  </si>
  <si>
    <t xml:space="preserve">ACOMETIDAS DOMICILIARIAS TIPO 1 </t>
  </si>
  <si>
    <t xml:space="preserve">ESTACION DE BOMBEO LOS CASTILLOS </t>
  </si>
  <si>
    <t xml:space="preserve">ELECTROBOMBA MONOBLOQUE HIDROMAC 275GPM VS 260'TDH INCULUYE MANIFOLD </t>
  </si>
  <si>
    <t>KIT ARRANCADOR MAGNETICO 30 HP 460V 3F</t>
  </si>
  <si>
    <t xml:space="preserve"> ESTEBAN POLANCO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</si>
</sst>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D$&quot;#,##0.00_);[Red]\(&quot;RD$&quot;#,##0.00\)"/>
    <numFmt numFmtId="167" formatCode="0.0"/>
    <numFmt numFmtId="168" formatCode="#,##0.000"/>
    <numFmt numFmtId="169" formatCode="#,##0.00000"/>
    <numFmt numFmtId="170" formatCode="_(* #,##0_);_(* \(#,##0\);_(* &quot;-&quot;??_);_(@_)"/>
    <numFmt numFmtId="171" formatCode="&quot;$&quot;#,##0.00"/>
    <numFmt numFmtId="172" formatCode="&quot;RD$&quot;#,##0.00"/>
    <numFmt numFmtId="173" formatCode="&quot;RD$&quot;#,##0.00_);\(&quot;RD$&quot;#,##0.00\)"/>
    <numFmt numFmtId="174" formatCode="0.0%"/>
    <numFmt numFmtId="175" formatCode="_(&quot;RD$&quot;* #,##0.00_);_(&quot;RD$&quot;* \(#,##0.00\);_(&quot;RD$&quot;* &quot;-&quot;??_);_(@_)"/>
    <numFmt numFmtId="176" formatCode="_(* #,##0.00000000_);_(* \(#,##0.00000000\);_(* &quot;-&quot;????????_);_(@_)"/>
    <numFmt numFmtId="177" formatCode="#,##0.00000_);\(#,##0.00000\)"/>
    <numFmt numFmtId="178" formatCode="0.000000"/>
    <numFmt numFmtId="179" formatCode="#,##0.0000"/>
    <numFmt numFmtId="180" formatCode="#,##0.0000000000"/>
    <numFmt numFmtId="181" formatCode="_(* #,##0.000000_);_(* \(#,##0.00000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u/>
      <sz val="9"/>
      <name val="Times New Roman"/>
      <family val="1"/>
    </font>
    <font>
      <b/>
      <sz val="9"/>
      <color theme="9" tint="-0.499984740745262"/>
      <name val="Times New Roman"/>
      <family val="1"/>
    </font>
    <font>
      <b/>
      <sz val="8"/>
      <color theme="9" tint="-0.499984740745262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9"/>
      <color theme="1"/>
      <name val="Times New Roman"/>
      <family val="1"/>
    </font>
    <font>
      <b/>
      <sz val="8"/>
      <color indexed="12"/>
      <name val="Times New Roman"/>
      <family val="1"/>
    </font>
    <font>
      <sz val="9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sz val="8"/>
      <name val="Calibri"/>
      <family val="2"/>
      <scheme val="minor"/>
    </font>
    <font>
      <b/>
      <u/>
      <sz val="8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sz val="9"/>
      <name val="Adobe Garamond Pro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2" fillId="0" borderId="0"/>
    <xf numFmtId="0" fontId="22" fillId="0" borderId="0"/>
    <xf numFmtId="165" fontId="2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8">
    <xf numFmtId="0" fontId="0" fillId="0" borderId="0" xfId="0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6" fillId="0" borderId="0" xfId="0" applyFont="1"/>
    <xf numFmtId="166" fontId="4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7" fontId="4" fillId="0" borderId="0" xfId="0" applyNumberFormat="1" applyFont="1" applyAlignment="1">
      <alignment horizontal="right"/>
    </xf>
    <xf numFmtId="14" fontId="4" fillId="0" borderId="6" xfId="0" applyNumberFormat="1" applyFont="1" applyBorder="1"/>
    <xf numFmtId="0" fontId="6" fillId="0" borderId="6" xfId="0" applyFont="1" applyBorder="1"/>
    <xf numFmtId="0" fontId="4" fillId="3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165" fontId="4" fillId="4" borderId="7" xfId="2" applyFont="1" applyFill="1" applyBorder="1" applyAlignment="1">
      <alignment horizontal="center"/>
    </xf>
    <xf numFmtId="0" fontId="4" fillId="4" borderId="7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5" fontId="4" fillId="5" borderId="7" xfId="2" applyFont="1" applyFill="1" applyBorder="1" applyAlignment="1">
      <alignment horizontal="center"/>
    </xf>
    <xf numFmtId="167" fontId="4" fillId="6" borderId="7" xfId="0" applyNumberFormat="1" applyFont="1" applyFill="1" applyBorder="1" applyAlignment="1">
      <alignment horizontal="center" vertical="top"/>
    </xf>
    <xf numFmtId="0" fontId="4" fillId="6" borderId="7" xfId="0" applyFont="1" applyFill="1" applyBorder="1"/>
    <xf numFmtId="0" fontId="6" fillId="6" borderId="7" xfId="0" applyFont="1" applyFill="1" applyBorder="1"/>
    <xf numFmtId="168" fontId="6" fillId="6" borderId="7" xfId="0" applyNumberFormat="1" applyFont="1" applyFill="1" applyBorder="1" applyAlignment="1">
      <alignment horizontal="center"/>
    </xf>
    <xf numFmtId="165" fontId="6" fillId="6" borderId="7" xfId="2" applyFont="1" applyFill="1" applyBorder="1"/>
    <xf numFmtId="165" fontId="6" fillId="7" borderId="7" xfId="2" applyFont="1" applyFill="1" applyBorder="1"/>
    <xf numFmtId="0" fontId="4" fillId="7" borderId="7" xfId="0" applyFont="1" applyFill="1" applyBorder="1" applyAlignment="1">
      <alignment horizontal="left" vertical="top"/>
    </xf>
    <xf numFmtId="0" fontId="4" fillId="7" borderId="7" xfId="0" applyFont="1" applyFill="1" applyBorder="1"/>
    <xf numFmtId="0" fontId="6" fillId="8" borderId="7" xfId="0" applyFont="1" applyFill="1" applyBorder="1" applyAlignment="1">
      <alignment horizontal="center"/>
    </xf>
    <xf numFmtId="165" fontId="6" fillId="8" borderId="7" xfId="2" applyFont="1" applyFill="1" applyBorder="1"/>
    <xf numFmtId="2" fontId="6" fillId="6" borderId="7" xfId="0" applyNumberFormat="1" applyFont="1" applyFill="1" applyBorder="1" applyAlignment="1">
      <alignment horizontal="center" vertical="top"/>
    </xf>
    <xf numFmtId="0" fontId="6" fillId="6" borderId="7" xfId="0" applyFont="1" applyFill="1" applyBorder="1" applyAlignment="1">
      <alignment wrapText="1"/>
    </xf>
    <xf numFmtId="0" fontId="6" fillId="6" borderId="7" xfId="0" applyFont="1" applyFill="1" applyBorder="1" applyAlignment="1">
      <alignment horizontal="center"/>
    </xf>
    <xf numFmtId="168" fontId="6" fillId="6" borderId="7" xfId="2" applyNumberFormat="1" applyFont="1" applyFill="1" applyBorder="1"/>
    <xf numFmtId="169" fontId="6" fillId="6" borderId="7" xfId="2" applyNumberFormat="1" applyFont="1" applyFill="1" applyBorder="1" applyAlignment="1">
      <alignment wrapText="1"/>
    </xf>
    <xf numFmtId="165" fontId="6" fillId="6" borderId="7" xfId="2" applyFont="1" applyFill="1" applyBorder="1" applyAlignment="1">
      <alignment wrapText="1"/>
    </xf>
    <xf numFmtId="2" fontId="6" fillId="7" borderId="7" xfId="0" applyNumberFormat="1" applyFont="1" applyFill="1" applyBorder="1" applyAlignment="1">
      <alignment horizontal="right"/>
    </xf>
    <xf numFmtId="170" fontId="6" fillId="7" borderId="7" xfId="2" applyNumberFormat="1" applyFont="1" applyFill="1" applyBorder="1" applyAlignment="1"/>
    <xf numFmtId="4" fontId="6" fillId="8" borderId="7" xfId="0" applyNumberFormat="1" applyFont="1" applyFill="1" applyBorder="1" applyAlignment="1">
      <alignment horizontal="center"/>
    </xf>
    <xf numFmtId="165" fontId="6" fillId="8" borderId="7" xfId="2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165" fontId="4" fillId="6" borderId="7" xfId="2" applyFont="1" applyFill="1" applyBorder="1" applyAlignment="1">
      <alignment wrapText="1"/>
    </xf>
    <xf numFmtId="165" fontId="6" fillId="8" borderId="7" xfId="0" applyNumberFormat="1" applyFont="1" applyFill="1" applyBorder="1"/>
    <xf numFmtId="171" fontId="4" fillId="8" borderId="7" xfId="2" applyNumberFormat="1" applyFont="1" applyFill="1" applyBorder="1"/>
    <xf numFmtId="2" fontId="4" fillId="6" borderId="7" xfId="0" applyNumberFormat="1" applyFont="1" applyFill="1" applyBorder="1" applyAlignment="1">
      <alignment horizontal="center" vertical="top"/>
    </xf>
    <xf numFmtId="165" fontId="4" fillId="8" borderId="7" xfId="0" applyNumberFormat="1" applyFont="1" applyFill="1" applyBorder="1"/>
    <xf numFmtId="169" fontId="6" fillId="6" borderId="7" xfId="2" applyNumberFormat="1" applyFont="1" applyFill="1" applyBorder="1"/>
    <xf numFmtId="0" fontId="6" fillId="8" borderId="7" xfId="0" applyFont="1" applyFill="1" applyBorder="1"/>
    <xf numFmtId="0" fontId="4" fillId="6" borderId="7" xfId="0" applyFont="1" applyFill="1" applyBorder="1" applyAlignment="1">
      <alignment horizontal="center"/>
    </xf>
    <xf numFmtId="168" fontId="4" fillId="6" borderId="7" xfId="2" applyNumberFormat="1" applyFont="1" applyFill="1" applyBorder="1"/>
    <xf numFmtId="169" fontId="4" fillId="6" borderId="7" xfId="2" applyNumberFormat="1" applyFont="1" applyFill="1" applyBorder="1"/>
    <xf numFmtId="2" fontId="6" fillId="6" borderId="7" xfId="0" applyNumberFormat="1" applyFont="1" applyFill="1" applyBorder="1" applyAlignment="1">
      <alignment horizontal="center" vertical="center"/>
    </xf>
    <xf numFmtId="4" fontId="6" fillId="8" borderId="7" xfId="0" applyNumberFormat="1" applyFont="1" applyFill="1" applyBorder="1"/>
    <xf numFmtId="0" fontId="6" fillId="6" borderId="7" xfId="0" applyFont="1" applyFill="1" applyBorder="1" applyAlignment="1">
      <alignment vertical="center" wrapText="1"/>
    </xf>
    <xf numFmtId="2" fontId="4" fillId="6" borderId="7" xfId="0" applyNumberFormat="1" applyFont="1" applyFill="1" applyBorder="1" applyAlignment="1">
      <alignment horizontal="center" vertical="center"/>
    </xf>
    <xf numFmtId="165" fontId="6" fillId="6" borderId="7" xfId="2" applyFont="1" applyFill="1" applyBorder="1" applyAlignment="1">
      <alignment horizontal="center"/>
    </xf>
    <xf numFmtId="0" fontId="6" fillId="6" borderId="7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/>
    </xf>
    <xf numFmtId="168" fontId="7" fillId="6" borderId="7" xfId="2" applyNumberFormat="1" applyFont="1" applyFill="1" applyBorder="1"/>
    <xf numFmtId="169" fontId="7" fillId="6" borderId="7" xfId="2" applyNumberFormat="1" applyFont="1" applyFill="1" applyBorder="1"/>
    <xf numFmtId="165" fontId="4" fillId="8" borderId="7" xfId="2" applyFont="1" applyFill="1" applyBorder="1" applyAlignment="1">
      <alignment wrapText="1"/>
    </xf>
    <xf numFmtId="165" fontId="4" fillId="8" borderId="7" xfId="2" applyFont="1" applyFill="1" applyBorder="1"/>
    <xf numFmtId="0" fontId="8" fillId="6" borderId="7" xfId="0" applyFont="1" applyFill="1" applyBorder="1" applyAlignment="1">
      <alignment horizontal="left" wrapText="1"/>
    </xf>
    <xf numFmtId="0" fontId="9" fillId="6" borderId="7" xfId="0" applyFont="1" applyFill="1" applyBorder="1" applyAlignment="1">
      <alignment horizontal="center"/>
    </xf>
    <xf numFmtId="168" fontId="9" fillId="6" borderId="7" xfId="2" applyNumberFormat="1" applyFont="1" applyFill="1" applyBorder="1"/>
    <xf numFmtId="169" fontId="9" fillId="6" borderId="7" xfId="2" applyNumberFormat="1" applyFont="1" applyFill="1" applyBorder="1"/>
    <xf numFmtId="0" fontId="9" fillId="6" borderId="7" xfId="0" applyFont="1" applyFill="1" applyBorder="1" applyAlignment="1">
      <alignment horizontal="left" wrapText="1"/>
    </xf>
    <xf numFmtId="165" fontId="4" fillId="6" borderId="7" xfId="2" applyFont="1" applyFill="1" applyBorder="1"/>
    <xf numFmtId="171" fontId="4" fillId="8" borderId="7" xfId="0" applyNumberFormat="1" applyFont="1" applyFill="1" applyBorder="1" applyAlignment="1">
      <alignment horizontal="center"/>
    </xf>
    <xf numFmtId="171" fontId="4" fillId="8" borderId="7" xfId="2" applyNumberFormat="1" applyFont="1" applyFill="1" applyBorder="1" applyAlignment="1">
      <alignment wrapText="1"/>
    </xf>
    <xf numFmtId="2" fontId="6" fillId="6" borderId="7" xfId="0" applyNumberFormat="1" applyFont="1" applyFill="1" applyBorder="1" applyAlignment="1">
      <alignment horizontal="center" wrapText="1"/>
    </xf>
    <xf numFmtId="165" fontId="6" fillId="7" borderId="7" xfId="3" applyNumberFormat="1" applyFont="1" applyFill="1" applyBorder="1" applyAlignment="1">
      <alignment horizontal="center"/>
    </xf>
    <xf numFmtId="0" fontId="6" fillId="7" borderId="7" xfId="2" applyNumberFormat="1" applyFont="1" applyFill="1" applyBorder="1" applyAlignment="1">
      <alignment horizontal="center"/>
    </xf>
    <xf numFmtId="171" fontId="4" fillId="8" borderId="7" xfId="2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center" wrapText="1"/>
    </xf>
    <xf numFmtId="2" fontId="6" fillId="6" borderId="7" xfId="0" applyNumberFormat="1" applyFont="1" applyFill="1" applyBorder="1" applyAlignment="1">
      <alignment horizontal="right" wrapText="1"/>
    </xf>
    <xf numFmtId="169" fontId="6" fillId="6" borderId="7" xfId="0" applyNumberFormat="1" applyFont="1" applyFill="1" applyBorder="1" applyAlignment="1">
      <alignment horizontal="center" wrapText="1"/>
    </xf>
    <xf numFmtId="169" fontId="6" fillId="6" borderId="7" xfId="0" applyNumberFormat="1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right" wrapText="1"/>
    </xf>
    <xf numFmtId="169" fontId="4" fillId="6" borderId="7" xfId="0" applyNumberFormat="1" applyFont="1" applyFill="1" applyBorder="1" applyAlignment="1">
      <alignment wrapText="1"/>
    </xf>
    <xf numFmtId="2" fontId="4" fillId="6" borderId="7" xfId="0" applyNumberFormat="1" applyFont="1" applyFill="1" applyBorder="1" applyAlignment="1">
      <alignment horizontal="center" wrapText="1"/>
    </xf>
    <xf numFmtId="2" fontId="6" fillId="6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top" wrapText="1"/>
    </xf>
    <xf numFmtId="4" fontId="6" fillId="8" borderId="7" xfId="2" applyNumberFormat="1" applyFont="1" applyFill="1" applyBorder="1"/>
    <xf numFmtId="171" fontId="6" fillId="8" borderId="7" xfId="2" applyNumberFormat="1" applyFont="1" applyFill="1" applyBorder="1"/>
    <xf numFmtId="0" fontId="6" fillId="6" borderId="7" xfId="0" applyFont="1" applyFill="1" applyBorder="1" applyAlignment="1">
      <alignment horizontal="right" wrapText="1"/>
    </xf>
    <xf numFmtId="169" fontId="6" fillId="6" borderId="7" xfId="0" applyNumberFormat="1" applyFont="1" applyFill="1" applyBorder="1" applyAlignment="1">
      <alignment wrapText="1"/>
    </xf>
    <xf numFmtId="0" fontId="10" fillId="0" borderId="0" xfId="0" applyFont="1"/>
    <xf numFmtId="169" fontId="6" fillId="0" borderId="0" xfId="0" applyNumberFormat="1" applyFont="1"/>
    <xf numFmtId="172" fontId="11" fillId="0" borderId="0" xfId="0" applyNumberFormat="1" applyFont="1"/>
    <xf numFmtId="165" fontId="4" fillId="0" borderId="0" xfId="0" applyNumberFormat="1" applyFont="1"/>
    <xf numFmtId="172" fontId="4" fillId="0" borderId="0" xfId="0" applyNumberFormat="1" applyFont="1"/>
    <xf numFmtId="171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169" fontId="0" fillId="0" borderId="0" xfId="0" applyNumberFormat="1"/>
    <xf numFmtId="0" fontId="6" fillId="6" borderId="7" xfId="0" applyFont="1" applyFill="1" applyBorder="1" applyAlignment="1">
      <alignment horizontal="right"/>
    </xf>
    <xf numFmtId="165" fontId="6" fillId="7" borderId="8" xfId="2" applyFont="1" applyFill="1" applyBorder="1"/>
    <xf numFmtId="4" fontId="6" fillId="8" borderId="7" xfId="2" applyNumberFormat="1" applyFont="1" applyFill="1" applyBorder="1" applyAlignment="1">
      <alignment wrapText="1"/>
    </xf>
    <xf numFmtId="4" fontId="9" fillId="6" borderId="7" xfId="0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horizontal="right"/>
    </xf>
    <xf numFmtId="169" fontId="9" fillId="6" borderId="7" xfId="0" applyNumberFormat="1" applyFont="1" applyFill="1" applyBorder="1"/>
    <xf numFmtId="0" fontId="0" fillId="6" borderId="0" xfId="0" applyFill="1"/>
    <xf numFmtId="169" fontId="0" fillId="6" borderId="0" xfId="0" applyNumberFormat="1" applyFill="1"/>
    <xf numFmtId="165" fontId="8" fillId="6" borderId="0" xfId="0" applyNumberFormat="1" applyFont="1" applyFill="1"/>
    <xf numFmtId="4" fontId="4" fillId="8" borderId="7" xfId="2" applyNumberFormat="1" applyFont="1" applyFill="1" applyBorder="1" applyAlignment="1">
      <alignment wrapText="1"/>
    </xf>
    <xf numFmtId="4" fontId="6" fillId="6" borderId="7" xfId="2" applyNumberFormat="1" applyFont="1" applyFill="1" applyBorder="1" applyAlignment="1">
      <alignment wrapText="1"/>
    </xf>
    <xf numFmtId="0" fontId="9" fillId="6" borderId="7" xfId="0" applyFont="1" applyFill="1" applyBorder="1"/>
    <xf numFmtId="0" fontId="8" fillId="6" borderId="7" xfId="0" applyFont="1" applyFill="1" applyBorder="1"/>
    <xf numFmtId="169" fontId="8" fillId="6" borderId="7" xfId="0" applyNumberFormat="1" applyFont="1" applyFill="1" applyBorder="1"/>
    <xf numFmtId="165" fontId="8" fillId="6" borderId="7" xfId="0" applyNumberFormat="1" applyFont="1" applyFill="1" applyBorder="1"/>
    <xf numFmtId="4" fontId="4" fillId="8" borderId="7" xfId="2" applyNumberFormat="1" applyFont="1" applyFill="1" applyBorder="1"/>
    <xf numFmtId="0" fontId="9" fillId="0" borderId="0" xfId="0" applyFont="1"/>
    <xf numFmtId="165" fontId="13" fillId="0" borderId="0" xfId="4" applyFont="1" applyFill="1" applyBorder="1" applyAlignment="1">
      <alignment horizontal="center"/>
    </xf>
    <xf numFmtId="165" fontId="8" fillId="0" borderId="0" xfId="0" applyNumberFormat="1" applyFont="1"/>
    <xf numFmtId="165" fontId="6" fillId="0" borderId="0" xfId="2" applyFont="1" applyFill="1" applyBorder="1"/>
    <xf numFmtId="2" fontId="6" fillId="0" borderId="0" xfId="0" applyNumberFormat="1" applyFont="1" applyAlignment="1">
      <alignment horizontal="right"/>
    </xf>
    <xf numFmtId="165" fontId="6" fillId="0" borderId="0" xfId="3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171" fontId="4" fillId="0" borderId="0" xfId="2" applyNumberFormat="1" applyFont="1" applyFill="1" applyBorder="1" applyAlignment="1">
      <alignment wrapText="1"/>
    </xf>
    <xf numFmtId="4" fontId="4" fillId="0" borderId="0" xfId="2" applyNumberFormat="1" applyFont="1" applyFill="1" applyBorder="1"/>
    <xf numFmtId="165" fontId="4" fillId="0" borderId="0" xfId="2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165" fontId="9" fillId="0" borderId="0" xfId="2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166" fontId="4" fillId="0" borderId="0" xfId="0" applyNumberFormat="1" applyFont="1" applyAlignment="1">
      <alignment horizontal="left"/>
    </xf>
    <xf numFmtId="14" fontId="4" fillId="0" borderId="0" xfId="0" applyNumberFormat="1" applyFont="1"/>
    <xf numFmtId="9" fontId="4" fillId="0" borderId="0" xfId="3" applyFont="1" applyBorder="1"/>
    <xf numFmtId="172" fontId="4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left" vertical="top"/>
    </xf>
    <xf numFmtId="174" fontId="4" fillId="0" borderId="0" xfId="0" applyNumberFormat="1" applyFont="1" applyAlignment="1">
      <alignment horizontal="center"/>
    </xf>
    <xf numFmtId="4" fontId="4" fillId="0" borderId="0" xfId="2" applyNumberFormat="1" applyFont="1" applyBorder="1" applyAlignment="1">
      <alignment horizontal="center"/>
    </xf>
    <xf numFmtId="4" fontId="4" fillId="0" borderId="0" xfId="2" applyNumberFormat="1" applyFont="1" applyBorder="1"/>
    <xf numFmtId="10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0" fontId="4" fillId="0" borderId="0" xfId="3" applyNumberFormat="1" applyFont="1" applyBorder="1" applyAlignment="1">
      <alignment horizontal="center"/>
    </xf>
    <xf numFmtId="4" fontId="4" fillId="0" borderId="0" xfId="2" applyNumberFormat="1" applyFont="1" applyBorder="1" applyAlignment="1"/>
    <xf numFmtId="4" fontId="14" fillId="0" borderId="0" xfId="2" applyNumberFormat="1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4" fontId="15" fillId="0" borderId="0" xfId="2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5" fillId="0" borderId="0" xfId="0" applyFont="1"/>
    <xf numFmtId="172" fontId="4" fillId="0" borderId="0" xfId="2" applyNumberFormat="1" applyFont="1" applyBorder="1" applyAlignment="1">
      <alignment horizontal="center"/>
    </xf>
    <xf numFmtId="172" fontId="4" fillId="0" borderId="0" xfId="2" applyNumberFormat="1" applyFont="1" applyBorder="1"/>
    <xf numFmtId="17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2" applyNumberFormat="1" applyFont="1" applyBorder="1"/>
    <xf numFmtId="0" fontId="17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9" fontId="4" fillId="0" borderId="0" xfId="3" applyFont="1" applyBorder="1" applyAlignment="1">
      <alignment horizontal="center"/>
    </xf>
    <xf numFmtId="4" fontId="15" fillId="0" borderId="0" xfId="2" applyNumberFormat="1" applyFont="1" applyBorder="1"/>
    <xf numFmtId="173" fontId="15" fillId="0" borderId="0" xfId="2" applyNumberFormat="1" applyFont="1" applyBorder="1"/>
    <xf numFmtId="173" fontId="6" fillId="0" borderId="0" xfId="0" applyNumberFormat="1" applyFont="1"/>
    <xf numFmtId="173" fontId="6" fillId="0" borderId="0" xfId="0" applyNumberFormat="1" applyFont="1" applyAlignment="1">
      <alignment horizontal="center"/>
    </xf>
    <xf numFmtId="173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76" fontId="6" fillId="0" borderId="0" xfId="0" applyNumberFormat="1" applyFont="1"/>
    <xf numFmtId="0" fontId="10" fillId="0" borderId="0" xfId="0" applyFont="1" applyAlignment="1">
      <alignment horizontal="left"/>
    </xf>
    <xf numFmtId="177" fontId="6" fillId="0" borderId="0" xfId="0" applyNumberFormat="1" applyFont="1"/>
    <xf numFmtId="0" fontId="4" fillId="3" borderId="7" xfId="0" applyFont="1" applyFill="1" applyBorder="1" applyAlignment="1">
      <alignment horizontal="right"/>
    </xf>
    <xf numFmtId="167" fontId="4" fillId="6" borderId="7" xfId="0" applyNumberFormat="1" applyFont="1" applyFill="1" applyBorder="1" applyAlignment="1">
      <alignment horizontal="center" vertical="top" wrapText="1"/>
    </xf>
    <xf numFmtId="165" fontId="6" fillId="7" borderId="7" xfId="2" applyFont="1" applyFill="1" applyBorder="1" applyAlignment="1">
      <alignment wrapText="1"/>
    </xf>
    <xf numFmtId="2" fontId="6" fillId="6" borderId="7" xfId="0" applyNumberFormat="1" applyFont="1" applyFill="1" applyBorder="1" applyAlignment="1">
      <alignment horizontal="center" vertical="top" wrapText="1"/>
    </xf>
    <xf numFmtId="39" fontId="6" fillId="6" borderId="7" xfId="2" applyNumberFormat="1" applyFont="1" applyFill="1" applyBorder="1" applyAlignment="1">
      <alignment wrapText="1"/>
    </xf>
    <xf numFmtId="172" fontId="4" fillId="6" borderId="7" xfId="2" applyNumberFormat="1" applyFont="1" applyFill="1" applyBorder="1" applyAlignment="1">
      <alignment wrapText="1"/>
    </xf>
    <xf numFmtId="2" fontId="4" fillId="6" borderId="7" xfId="0" applyNumberFormat="1" applyFont="1" applyFill="1" applyBorder="1" applyAlignment="1">
      <alignment horizontal="center" vertical="top" wrapText="1"/>
    </xf>
    <xf numFmtId="172" fontId="6" fillId="6" borderId="7" xfId="2" applyNumberFormat="1" applyFont="1" applyFill="1" applyBorder="1" applyAlignment="1">
      <alignment wrapText="1"/>
    </xf>
    <xf numFmtId="0" fontId="4" fillId="6" borderId="7" xfId="0" applyFont="1" applyFill="1" applyBorder="1" applyAlignment="1">
      <alignment vertic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165" fontId="6" fillId="6" borderId="7" xfId="2" applyFont="1" applyFill="1" applyBorder="1" applyAlignment="1">
      <alignment horizontal="right" wrapText="1"/>
    </xf>
    <xf numFmtId="4" fontId="4" fillId="6" borderId="7" xfId="2" applyNumberFormat="1" applyFont="1" applyFill="1" applyBorder="1" applyAlignment="1">
      <alignment wrapText="1"/>
    </xf>
    <xf numFmtId="4" fontId="6" fillId="6" borderId="7" xfId="0" applyNumberFormat="1" applyFont="1" applyFill="1" applyBorder="1" applyAlignment="1">
      <alignment horizontal="right" wrapText="1"/>
    </xf>
    <xf numFmtId="2" fontId="6" fillId="7" borderId="7" xfId="0" applyNumberFormat="1" applyFont="1" applyFill="1" applyBorder="1" applyAlignment="1">
      <alignment horizontal="right" wrapText="1"/>
    </xf>
    <xf numFmtId="165" fontId="6" fillId="6" borderId="7" xfId="2" applyFont="1" applyFill="1" applyBorder="1" applyAlignment="1">
      <alignment horizontal="center" wrapText="1"/>
    </xf>
    <xf numFmtId="165" fontId="6" fillId="7" borderId="7" xfId="2" applyFont="1" applyFill="1" applyBorder="1" applyAlignment="1">
      <alignment horizontal="right" wrapText="1"/>
    </xf>
    <xf numFmtId="165" fontId="6" fillId="7" borderId="7" xfId="2" applyFont="1" applyFill="1" applyBorder="1" applyAlignment="1">
      <alignment horizontal="right"/>
    </xf>
    <xf numFmtId="165" fontId="4" fillId="6" borderId="7" xfId="2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vertical="top" wrapText="1"/>
    </xf>
    <xf numFmtId="171" fontId="6" fillId="6" borderId="7" xfId="2" applyNumberFormat="1" applyFont="1" applyFill="1" applyBorder="1" applyAlignment="1">
      <alignment wrapText="1"/>
    </xf>
    <xf numFmtId="165" fontId="6" fillId="6" borderId="7" xfId="2" applyFont="1" applyFill="1" applyBorder="1" applyAlignment="1">
      <alignment horizontal="right" vertical="center" wrapText="1"/>
    </xf>
    <xf numFmtId="165" fontId="6" fillId="6" borderId="7" xfId="2" applyFont="1" applyFill="1" applyBorder="1" applyAlignment="1">
      <alignment vertical="center" wrapText="1"/>
    </xf>
    <xf numFmtId="2" fontId="6" fillId="7" borderId="7" xfId="0" applyNumberFormat="1" applyFont="1" applyFill="1" applyBorder="1" applyAlignment="1">
      <alignment horizontal="right" vertical="center" wrapText="1"/>
    </xf>
    <xf numFmtId="2" fontId="6" fillId="7" borderId="7" xfId="0" applyNumberFormat="1" applyFont="1" applyFill="1" applyBorder="1" applyAlignment="1">
      <alignment horizontal="right" vertical="center"/>
    </xf>
    <xf numFmtId="170" fontId="6" fillId="7" borderId="7" xfId="2" applyNumberFormat="1" applyFont="1" applyFill="1" applyBorder="1" applyAlignment="1">
      <alignment vertical="center"/>
    </xf>
    <xf numFmtId="165" fontId="6" fillId="8" borderId="7" xfId="0" applyNumberFormat="1" applyFont="1" applyFill="1" applyBorder="1" applyAlignment="1">
      <alignment vertical="center"/>
    </xf>
    <xf numFmtId="165" fontId="6" fillId="8" borderId="7" xfId="2" applyFont="1" applyFill="1" applyBorder="1" applyAlignment="1">
      <alignment vertical="center" wrapText="1"/>
    </xf>
    <xf numFmtId="165" fontId="6" fillId="8" borderId="7" xfId="2" applyFont="1" applyFill="1" applyBorder="1" applyAlignment="1">
      <alignment vertical="center"/>
    </xf>
    <xf numFmtId="165" fontId="4" fillId="6" borderId="7" xfId="2" applyFont="1" applyFill="1" applyBorder="1" applyAlignment="1">
      <alignment horizontal="right" vertical="center" wrapText="1"/>
    </xf>
    <xf numFmtId="165" fontId="4" fillId="6" borderId="7" xfId="2" applyFont="1" applyFill="1" applyBorder="1" applyAlignment="1">
      <alignment vertical="center" wrapText="1"/>
    </xf>
    <xf numFmtId="172" fontId="4" fillId="6" borderId="7" xfId="2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72" fontId="11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18" fillId="0" borderId="0" xfId="0" applyFont="1"/>
    <xf numFmtId="0" fontId="11" fillId="0" borderId="0" xfId="0" applyFont="1"/>
    <xf numFmtId="0" fontId="18" fillId="0" borderId="0" xfId="0" applyFont="1" applyAlignment="1">
      <alignment horizontal="right"/>
    </xf>
    <xf numFmtId="0" fontId="8" fillId="6" borderId="7" xfId="0" applyFont="1" applyFill="1" applyBorder="1" applyAlignment="1">
      <alignment horizontal="center"/>
    </xf>
    <xf numFmtId="165" fontId="6" fillId="6" borderId="8" xfId="2" applyFont="1" applyFill="1" applyBorder="1" applyAlignment="1">
      <alignment horizontal="right" vertical="center"/>
    </xf>
    <xf numFmtId="165" fontId="6" fillId="6" borderId="7" xfId="2" applyFont="1" applyFill="1" applyBorder="1" applyAlignment="1">
      <alignment vertical="center"/>
    </xf>
    <xf numFmtId="10" fontId="6" fillId="7" borderId="7" xfId="2" applyNumberFormat="1" applyFont="1" applyFill="1" applyBorder="1" applyAlignment="1">
      <alignment vertical="center"/>
    </xf>
    <xf numFmtId="165" fontId="4" fillId="6" borderId="8" xfId="2" applyFont="1" applyFill="1" applyBorder="1" applyAlignment="1">
      <alignment horizontal="right" vertical="center"/>
    </xf>
    <xf numFmtId="165" fontId="4" fillId="6" borderId="7" xfId="2" applyFont="1" applyFill="1" applyBorder="1" applyAlignment="1">
      <alignment vertical="center"/>
    </xf>
    <xf numFmtId="165" fontId="4" fillId="8" borderId="7" xfId="2" applyFont="1" applyFill="1" applyBorder="1" applyAlignment="1">
      <alignment vertical="center" wrapText="1"/>
    </xf>
    <xf numFmtId="165" fontId="4" fillId="8" borderId="7" xfId="2" applyFont="1" applyFill="1" applyBorder="1" applyAlignment="1">
      <alignment vertical="center"/>
    </xf>
    <xf numFmtId="0" fontId="11" fillId="6" borderId="7" xfId="0" applyFont="1" applyFill="1" applyBorder="1" applyAlignment="1">
      <alignment horizontal="center"/>
    </xf>
    <xf numFmtId="0" fontId="11" fillId="6" borderId="7" xfId="0" applyFont="1" applyFill="1" applyBorder="1"/>
    <xf numFmtId="165" fontId="10" fillId="6" borderId="9" xfId="2" applyFont="1" applyFill="1" applyBorder="1" applyAlignment="1">
      <alignment horizontal="right" vertical="center"/>
    </xf>
    <xf numFmtId="165" fontId="10" fillId="6" borderId="9" xfId="2" applyFont="1" applyFill="1" applyBorder="1" applyAlignment="1">
      <alignment vertical="center"/>
    </xf>
    <xf numFmtId="4" fontId="19" fillId="6" borderId="7" xfId="0" applyNumberFormat="1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165" fontId="6" fillId="6" borderId="7" xfId="2" applyFont="1" applyFill="1" applyBorder="1" applyAlignment="1">
      <alignment horizontal="right" vertical="center"/>
    </xf>
    <xf numFmtId="4" fontId="6" fillId="6" borderId="7" xfId="2" applyNumberFormat="1" applyFont="1" applyFill="1" applyBorder="1" applyAlignment="1">
      <alignment vertical="center"/>
    </xf>
    <xf numFmtId="4" fontId="9" fillId="6" borderId="7" xfId="0" applyNumberFormat="1" applyFont="1" applyFill="1" applyBorder="1"/>
    <xf numFmtId="4" fontId="8" fillId="6" borderId="7" xfId="0" applyNumberFormat="1" applyFont="1" applyFill="1" applyBorder="1"/>
    <xf numFmtId="165" fontId="4" fillId="8" borderId="7" xfId="0" applyNumberFormat="1" applyFont="1" applyFill="1" applyBorder="1" applyAlignment="1">
      <alignment vertical="center"/>
    </xf>
    <xf numFmtId="165" fontId="10" fillId="6" borderId="2" xfId="2" applyFont="1" applyFill="1" applyBorder="1" applyAlignment="1">
      <alignment vertical="center"/>
    </xf>
    <xf numFmtId="2" fontId="8" fillId="6" borderId="7" xfId="0" applyNumberFormat="1" applyFont="1" applyFill="1" applyBorder="1" applyAlignment="1">
      <alignment horizontal="center"/>
    </xf>
    <xf numFmtId="4" fontId="6" fillId="6" borderId="10" xfId="2" applyNumberFormat="1" applyFont="1" applyFill="1" applyBorder="1" applyAlignment="1">
      <alignment vertical="center"/>
    </xf>
    <xf numFmtId="4" fontId="4" fillId="6" borderId="10" xfId="2" applyNumberFormat="1" applyFont="1" applyFill="1" applyBorder="1" applyAlignment="1">
      <alignment vertical="center"/>
    </xf>
    <xf numFmtId="0" fontId="8" fillId="6" borderId="8" xfId="0" applyFont="1" applyFill="1" applyBorder="1"/>
    <xf numFmtId="4" fontId="9" fillId="6" borderId="10" xfId="0" applyNumberFormat="1" applyFont="1" applyFill="1" applyBorder="1"/>
    <xf numFmtId="2" fontId="9" fillId="6" borderId="7" xfId="0" applyNumberFormat="1" applyFont="1" applyFill="1" applyBorder="1" applyAlignment="1">
      <alignment horizontal="center"/>
    </xf>
    <xf numFmtId="0" fontId="9" fillId="6" borderId="8" xfId="0" applyFont="1" applyFill="1" applyBorder="1"/>
    <xf numFmtId="0" fontId="4" fillId="6" borderId="8" xfId="0" applyFont="1" applyFill="1" applyBorder="1" applyAlignment="1">
      <alignment horizontal="left" wrapText="1"/>
    </xf>
    <xf numFmtId="4" fontId="8" fillId="6" borderId="10" xfId="0" applyNumberFormat="1" applyFont="1" applyFill="1" applyBorder="1"/>
    <xf numFmtId="0" fontId="9" fillId="6" borderId="10" xfId="0" applyFont="1" applyFill="1" applyBorder="1"/>
    <xf numFmtId="2" fontId="6" fillId="7" borderId="9" xfId="0" applyNumberFormat="1" applyFont="1" applyFill="1" applyBorder="1" applyAlignment="1">
      <alignment horizontal="right" vertical="center"/>
    </xf>
    <xf numFmtId="165" fontId="6" fillId="8" borderId="9" xfId="2" applyFont="1" applyFill="1" applyBorder="1" applyAlignment="1">
      <alignment vertical="center"/>
    </xf>
    <xf numFmtId="0" fontId="4" fillId="6" borderId="4" xfId="0" applyFont="1" applyFill="1" applyBorder="1" applyAlignment="1">
      <alignment horizontal="left" wrapText="1"/>
    </xf>
    <xf numFmtId="0" fontId="9" fillId="6" borderId="9" xfId="0" applyFont="1" applyFill="1" applyBorder="1" applyAlignment="1">
      <alignment horizontal="right"/>
    </xf>
    <xf numFmtId="0" fontId="9" fillId="6" borderId="9" xfId="0" applyFont="1" applyFill="1" applyBorder="1"/>
    <xf numFmtId="4" fontId="8" fillId="6" borderId="2" xfId="0" applyNumberFormat="1" applyFont="1" applyFill="1" applyBorder="1"/>
    <xf numFmtId="0" fontId="9" fillId="0" borderId="0" xfId="0" applyFont="1" applyAlignment="1">
      <alignment horizontal="right"/>
    </xf>
    <xf numFmtId="165" fontId="4" fillId="0" borderId="0" xfId="2" applyFont="1" applyFill="1" applyBorder="1" applyAlignment="1">
      <alignment vertical="center"/>
    </xf>
    <xf numFmtId="165" fontId="13" fillId="0" borderId="0" xfId="2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1" fillId="0" borderId="0" xfId="2" applyBorder="1"/>
    <xf numFmtId="171" fontId="1" fillId="0" borderId="0" xfId="2" applyNumberFormat="1" applyBorder="1"/>
    <xf numFmtId="4" fontId="4" fillId="0" borderId="0" xfId="3" applyNumberFormat="1" applyFont="1" applyBorder="1"/>
    <xf numFmtId="174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74" fontId="14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right"/>
    </xf>
    <xf numFmtId="174" fontId="15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4" fontId="6" fillId="0" borderId="0" xfId="2" applyNumberFormat="1" applyFont="1" applyBorder="1"/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49" fontId="4" fillId="0" borderId="0" xfId="0" applyNumberFormat="1" applyFont="1" applyAlignment="1">
      <alignment horizontal="right"/>
    </xf>
    <xf numFmtId="2" fontId="6" fillId="0" borderId="0" xfId="0" applyNumberFormat="1" applyFont="1"/>
    <xf numFmtId="17" fontId="4" fillId="0" borderId="0" xfId="0" applyNumberFormat="1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4" fontId="4" fillId="3" borderId="7" xfId="2" applyNumberFormat="1" applyFont="1" applyFill="1" applyBorder="1" applyAlignment="1">
      <alignment horizontal="center" wrapText="1"/>
    </xf>
    <xf numFmtId="165" fontId="4" fillId="4" borderId="7" xfId="2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165" fontId="4" fillId="5" borderId="7" xfId="2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left" vertical="top" wrapText="1"/>
    </xf>
    <xf numFmtId="10" fontId="4" fillId="7" borderId="7" xfId="0" applyNumberFormat="1" applyFont="1" applyFill="1" applyBorder="1" applyAlignment="1">
      <alignment wrapText="1"/>
    </xf>
    <xf numFmtId="0" fontId="6" fillId="8" borderId="7" xfId="0" applyFont="1" applyFill="1" applyBorder="1" applyAlignment="1">
      <alignment horizontal="center" wrapText="1"/>
    </xf>
    <xf numFmtId="2" fontId="6" fillId="6" borderId="7" xfId="2" applyNumberFormat="1" applyFont="1" applyFill="1" applyBorder="1" applyAlignment="1">
      <alignment wrapText="1"/>
    </xf>
    <xf numFmtId="165" fontId="9" fillId="7" borderId="7" xfId="2" applyFont="1" applyFill="1" applyBorder="1" applyAlignment="1">
      <alignment wrapText="1"/>
    </xf>
    <xf numFmtId="10" fontId="6" fillId="7" borderId="7" xfId="2" applyNumberFormat="1" applyFont="1" applyFill="1" applyBorder="1" applyAlignment="1">
      <alignment wrapText="1"/>
    </xf>
    <xf numFmtId="165" fontId="6" fillId="8" borderId="7" xfId="2" applyFont="1" applyFill="1" applyBorder="1" applyAlignment="1">
      <alignment horizontal="center" wrapText="1"/>
    </xf>
    <xf numFmtId="165" fontId="7" fillId="7" borderId="7" xfId="2" applyFont="1" applyFill="1" applyBorder="1" applyAlignment="1">
      <alignment wrapText="1"/>
    </xf>
    <xf numFmtId="171" fontId="4" fillId="8" borderId="7" xfId="2" applyNumberFormat="1" applyFont="1" applyFill="1" applyBorder="1" applyAlignment="1">
      <alignment horizontal="center" wrapText="1"/>
    </xf>
    <xf numFmtId="2" fontId="4" fillId="6" borderId="7" xfId="2" applyNumberFormat="1" applyFont="1" applyFill="1" applyBorder="1" applyAlignment="1">
      <alignment wrapText="1"/>
    </xf>
    <xf numFmtId="165" fontId="6" fillId="7" borderId="7" xfId="0" applyNumberFormat="1" applyFont="1" applyFill="1" applyBorder="1" applyAlignment="1">
      <alignment horizontal="right" wrapText="1"/>
    </xf>
    <xf numFmtId="178" fontId="0" fillId="0" borderId="0" xfId="0" applyNumberFormat="1"/>
    <xf numFmtId="171" fontId="4" fillId="8" borderId="7" xfId="0" applyNumberFormat="1" applyFont="1" applyFill="1" applyBorder="1" applyAlignment="1">
      <alignment horizontal="center" wrapText="1"/>
    </xf>
    <xf numFmtId="10" fontId="6" fillId="7" borderId="7" xfId="3" applyNumberFormat="1" applyFont="1" applyFill="1" applyBorder="1" applyAlignment="1">
      <alignment horizontal="center" wrapText="1"/>
    </xf>
    <xf numFmtId="165" fontId="0" fillId="0" borderId="0" xfId="0" applyNumberFormat="1"/>
    <xf numFmtId="2" fontId="6" fillId="8" borderId="7" xfId="0" applyNumberFormat="1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center" vertical="center" wrapText="1"/>
    </xf>
    <xf numFmtId="2" fontId="6" fillId="6" borderId="7" xfId="2" applyNumberFormat="1" applyFont="1" applyFill="1" applyBorder="1" applyAlignment="1">
      <alignment horizontal="center" vertical="center" wrapText="1"/>
    </xf>
    <xf numFmtId="4" fontId="6" fillId="6" borderId="7" xfId="2" applyNumberFormat="1" applyFont="1" applyFill="1" applyBorder="1" applyAlignment="1">
      <alignment vertical="center" wrapText="1"/>
    </xf>
    <xf numFmtId="2" fontId="6" fillId="6" borderId="7" xfId="2" applyNumberFormat="1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165" fontId="20" fillId="7" borderId="10" xfId="2" applyFont="1" applyFill="1" applyBorder="1" applyAlignment="1">
      <alignment wrapText="1"/>
    </xf>
    <xf numFmtId="165" fontId="20" fillId="7" borderId="8" xfId="2" applyFont="1" applyFill="1" applyBorder="1" applyAlignment="1">
      <alignment wrapText="1"/>
    </xf>
    <xf numFmtId="2" fontId="7" fillId="7" borderId="7" xfId="0" applyNumberFormat="1" applyFont="1" applyFill="1" applyBorder="1" applyAlignment="1">
      <alignment horizontal="right" wrapText="1"/>
    </xf>
    <xf numFmtId="10" fontId="7" fillId="7" borderId="7" xfId="2" applyNumberFormat="1" applyFont="1" applyFill="1" applyBorder="1" applyAlignment="1">
      <alignment wrapText="1"/>
    </xf>
    <xf numFmtId="2" fontId="21" fillId="0" borderId="0" xfId="0" applyNumberFormat="1" applyFont="1" applyAlignment="1">
      <alignment horizontal="center" vertical="top" wrapText="1"/>
    </xf>
    <xf numFmtId="165" fontId="13" fillId="0" borderId="0" xfId="2" applyFont="1" applyFill="1" applyBorder="1" applyAlignment="1">
      <alignment horizontal="center" wrapText="1"/>
    </xf>
    <xf numFmtId="2" fontId="13" fillId="0" borderId="0" xfId="2" applyNumberFormat="1" applyFont="1" applyFill="1" applyBorder="1" applyAlignment="1">
      <alignment horizontal="center" wrapText="1"/>
    </xf>
    <xf numFmtId="4" fontId="13" fillId="0" borderId="0" xfId="2" applyNumberFormat="1" applyFont="1" applyFill="1" applyBorder="1" applyAlignment="1">
      <alignment wrapText="1"/>
    </xf>
    <xf numFmtId="4" fontId="4" fillId="0" borderId="0" xfId="2" applyNumberFormat="1" applyFont="1" applyFill="1" applyBorder="1" applyAlignment="1">
      <alignment wrapText="1"/>
    </xf>
    <xf numFmtId="165" fontId="13" fillId="0" borderId="0" xfId="2" applyFont="1" applyFill="1" applyBorder="1" applyAlignment="1">
      <alignment wrapText="1"/>
    </xf>
    <xf numFmtId="165" fontId="4" fillId="0" borderId="0" xfId="2" applyFont="1" applyFill="1" applyBorder="1" applyAlignment="1">
      <alignment wrapText="1"/>
    </xf>
    <xf numFmtId="2" fontId="4" fillId="0" borderId="0" xfId="0" applyNumberFormat="1" applyFont="1" applyAlignment="1">
      <alignment horizontal="right" vertical="top" wrapText="1"/>
    </xf>
    <xf numFmtId="170" fontId="4" fillId="0" borderId="0" xfId="0" applyNumberFormat="1" applyFont="1" applyAlignment="1">
      <alignment wrapText="1"/>
    </xf>
    <xf numFmtId="165" fontId="6" fillId="0" borderId="0" xfId="2" applyFont="1" applyFill="1" applyBorder="1" applyAlignment="1">
      <alignment horizontal="right" wrapText="1"/>
    </xf>
    <xf numFmtId="165" fontId="4" fillId="0" borderId="0" xfId="2" applyFont="1" applyFill="1" applyBorder="1" applyAlignment="1">
      <alignment horizontal="right" wrapText="1"/>
    </xf>
    <xf numFmtId="0" fontId="22" fillId="0" borderId="0" xfId="5" applyAlignment="1">
      <alignment wrapText="1"/>
    </xf>
    <xf numFmtId="0" fontId="4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right" wrapText="1"/>
    </xf>
    <xf numFmtId="166" fontId="4" fillId="0" borderId="15" xfId="0" applyNumberFormat="1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17" fontId="4" fillId="0" borderId="0" xfId="0" applyNumberFormat="1" applyFont="1" applyAlignment="1">
      <alignment horizontal="right" wrapText="1"/>
    </xf>
    <xf numFmtId="14" fontId="4" fillId="0" borderId="15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2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2" fontId="4" fillId="0" borderId="0" xfId="0" applyNumberFormat="1" applyFont="1" applyAlignment="1">
      <alignment wrapText="1"/>
    </xf>
    <xf numFmtId="172" fontId="4" fillId="0" borderId="0" xfId="2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center" wrapText="1"/>
    </xf>
    <xf numFmtId="172" fontId="4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172" fontId="4" fillId="0" borderId="0" xfId="2" applyNumberFormat="1" applyFont="1" applyBorder="1" applyAlignment="1">
      <alignment wrapText="1"/>
    </xf>
    <xf numFmtId="172" fontId="4" fillId="0" borderId="15" xfId="2" applyNumberFormat="1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2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4" fontId="4" fillId="0" borderId="0" xfId="2" applyNumberFormat="1" applyFont="1" applyBorder="1" applyAlignment="1">
      <alignment horizontal="center" wrapText="1"/>
    </xf>
    <xf numFmtId="171" fontId="4" fillId="0" borderId="0" xfId="2" applyNumberFormat="1" applyFont="1" applyBorder="1" applyAlignment="1">
      <alignment horizontal="center" wrapText="1"/>
    </xf>
    <xf numFmtId="10" fontId="4" fillId="0" borderId="0" xfId="3" applyNumberFormat="1" applyFont="1" applyBorder="1" applyAlignment="1">
      <alignment horizontal="center" wrapText="1"/>
    </xf>
    <xf numFmtId="10" fontId="14" fillId="0" borderId="0" xfId="0" applyNumberFormat="1" applyFont="1" applyAlignment="1">
      <alignment horizontal="center" wrapText="1"/>
    </xf>
    <xf numFmtId="4" fontId="14" fillId="0" borderId="0" xfId="2" applyNumberFormat="1" applyFont="1" applyBorder="1" applyAlignment="1">
      <alignment horizontal="center" wrapText="1"/>
    </xf>
    <xf numFmtId="172" fontId="14" fillId="0" borderId="0" xfId="2" applyNumberFormat="1" applyFont="1" applyBorder="1" applyAlignment="1">
      <alignment horizontal="center" wrapText="1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center" wrapText="1"/>
    </xf>
    <xf numFmtId="172" fontId="15" fillId="0" borderId="0" xfId="2" applyNumberFormat="1" applyFont="1" applyBorder="1" applyAlignment="1">
      <alignment horizontal="center" wrapText="1"/>
    </xf>
    <xf numFmtId="171" fontId="15" fillId="0" borderId="0" xfId="0" applyNumberFormat="1" applyFont="1" applyAlignment="1">
      <alignment horizontal="center" vertical="top" wrapText="1"/>
    </xf>
    <xf numFmtId="4" fontId="4" fillId="0" borderId="0" xfId="2" applyNumberFormat="1" applyFont="1" applyBorder="1" applyAlignment="1">
      <alignment wrapText="1"/>
    </xf>
    <xf numFmtId="165" fontId="4" fillId="0" borderId="0" xfId="2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171" fontId="6" fillId="0" borderId="0" xfId="2" applyNumberFormat="1" applyFont="1" applyBorder="1" applyAlignment="1">
      <alignment wrapText="1"/>
    </xf>
    <xf numFmtId="175" fontId="6" fillId="0" borderId="0" xfId="0" applyNumberFormat="1" applyFont="1" applyAlignment="1">
      <alignment horizontal="center" wrapText="1"/>
    </xf>
    <xf numFmtId="165" fontId="6" fillId="0" borderId="0" xfId="2" applyFont="1" applyBorder="1" applyAlignment="1">
      <alignment wrapText="1"/>
    </xf>
    <xf numFmtId="4" fontId="15" fillId="0" borderId="0" xfId="0" applyNumberFormat="1" applyFont="1" applyAlignment="1">
      <alignment horizontal="center" wrapText="1"/>
    </xf>
    <xf numFmtId="4" fontId="15" fillId="0" borderId="0" xfId="2" applyNumberFormat="1" applyFont="1" applyBorder="1" applyAlignment="1">
      <alignment horizontal="center" wrapText="1"/>
    </xf>
    <xf numFmtId="172" fontId="15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9" fontId="6" fillId="0" borderId="0" xfId="0" applyNumberFormat="1" applyFont="1" applyAlignment="1">
      <alignment horizontal="center" wrapText="1"/>
    </xf>
    <xf numFmtId="165" fontId="6" fillId="0" borderId="15" xfId="2" applyFont="1" applyBorder="1" applyAlignment="1">
      <alignment wrapText="1"/>
    </xf>
    <xf numFmtId="2" fontId="6" fillId="0" borderId="0" xfId="0" applyNumberFormat="1" applyFont="1" applyAlignment="1">
      <alignment horizontal="center" wrapText="1"/>
    </xf>
    <xf numFmtId="4" fontId="6" fillId="0" borderId="0" xfId="2" applyNumberFormat="1" applyFont="1" applyBorder="1" applyAlignment="1">
      <alignment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71" fontId="1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vertical="top"/>
    </xf>
    <xf numFmtId="171" fontId="8" fillId="0" borderId="0" xfId="2" applyNumberFormat="1" applyFont="1" applyBorder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2" fontId="0" fillId="0" borderId="0" xfId="0" applyNumberFormat="1"/>
    <xf numFmtId="4" fontId="4" fillId="7" borderId="7" xfId="0" applyNumberFormat="1" applyFont="1" applyFill="1" applyBorder="1"/>
    <xf numFmtId="4" fontId="6" fillId="6" borderId="7" xfId="2" applyNumberFormat="1" applyFont="1" applyFill="1" applyBorder="1"/>
    <xf numFmtId="177" fontId="6" fillId="6" borderId="7" xfId="2" applyNumberFormat="1" applyFont="1" applyFill="1" applyBorder="1" applyAlignment="1">
      <alignment wrapText="1"/>
    </xf>
    <xf numFmtId="4" fontId="6" fillId="7" borderId="7" xfId="2" applyNumberFormat="1" applyFont="1" applyFill="1" applyBorder="1" applyAlignment="1"/>
    <xf numFmtId="177" fontId="4" fillId="6" borderId="7" xfId="2" applyNumberFormat="1" applyFont="1" applyFill="1" applyBorder="1" applyAlignment="1">
      <alignment wrapText="1"/>
    </xf>
    <xf numFmtId="179" fontId="6" fillId="6" borderId="7" xfId="2" applyNumberFormat="1" applyFont="1" applyFill="1" applyBorder="1"/>
    <xf numFmtId="168" fontId="8" fillId="6" borderId="7" xfId="2" applyNumberFormat="1" applyFont="1" applyFill="1" applyBorder="1"/>
    <xf numFmtId="169" fontId="8" fillId="6" borderId="7" xfId="2" applyNumberFormat="1" applyFont="1" applyFill="1" applyBorder="1"/>
    <xf numFmtId="4" fontId="6" fillId="7" borderId="7" xfId="2" applyNumberFormat="1" applyFont="1" applyFill="1" applyBorder="1" applyAlignment="1">
      <alignment horizontal="center"/>
    </xf>
    <xf numFmtId="2" fontId="4" fillId="6" borderId="7" xfId="0" applyNumberFormat="1" applyFont="1" applyFill="1" applyBorder="1" applyAlignment="1">
      <alignment horizontal="right" wrapText="1"/>
    </xf>
    <xf numFmtId="169" fontId="4" fillId="6" borderId="7" xfId="0" applyNumberFormat="1" applyFont="1" applyFill="1" applyBorder="1" applyAlignment="1">
      <alignment horizontal="right" wrapText="1"/>
    </xf>
    <xf numFmtId="0" fontId="13" fillId="3" borderId="7" xfId="0" applyFont="1" applyFill="1" applyBorder="1" applyAlignment="1">
      <alignment wrapText="1"/>
    </xf>
    <xf numFmtId="0" fontId="13" fillId="3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2" fontId="6" fillId="6" borderId="7" xfId="0" applyNumberFormat="1" applyFont="1" applyFill="1" applyBorder="1" applyAlignment="1">
      <alignment horizontal="left" wrapText="1"/>
    </xf>
    <xf numFmtId="4" fontId="6" fillId="6" borderId="7" xfId="0" applyNumberFormat="1" applyFont="1" applyFill="1" applyBorder="1" applyAlignment="1">
      <alignment horizontal="center" wrapText="1"/>
    </xf>
    <xf numFmtId="165" fontId="6" fillId="10" borderId="7" xfId="4" applyFont="1" applyFill="1" applyBorder="1" applyAlignment="1">
      <alignment wrapText="1"/>
    </xf>
    <xf numFmtId="10" fontId="6" fillId="10" borderId="7" xfId="0" applyNumberFormat="1" applyFont="1" applyFill="1" applyBorder="1" applyAlignment="1">
      <alignment wrapText="1"/>
    </xf>
    <xf numFmtId="165" fontId="6" fillId="8" borderId="7" xfId="4" applyFont="1" applyFill="1" applyBorder="1" applyAlignment="1">
      <alignment horizontal="center" wrapText="1"/>
    </xf>
    <xf numFmtId="2" fontId="6" fillId="6" borderId="7" xfId="0" applyNumberFormat="1" applyFont="1" applyFill="1" applyBorder="1" applyAlignment="1">
      <alignment horizontal="left"/>
    </xf>
    <xf numFmtId="165" fontId="6" fillId="6" borderId="7" xfId="4" applyFont="1" applyFill="1" applyBorder="1" applyAlignment="1">
      <alignment horizontal="center" wrapText="1"/>
    </xf>
    <xf numFmtId="4" fontId="6" fillId="6" borderId="7" xfId="4" applyNumberFormat="1" applyFont="1" applyFill="1" applyBorder="1" applyAlignment="1">
      <alignment horizontal="right" wrapText="1"/>
    </xf>
    <xf numFmtId="165" fontId="4" fillId="8" borderId="7" xfId="4" applyFont="1" applyFill="1" applyBorder="1" applyAlignment="1">
      <alignment horizontal="center" wrapText="1"/>
    </xf>
    <xf numFmtId="165" fontId="6" fillId="8" borderId="7" xfId="4" applyFont="1" applyFill="1" applyBorder="1" applyAlignment="1">
      <alignment wrapText="1"/>
    </xf>
    <xf numFmtId="4" fontId="6" fillId="6" borderId="7" xfId="4" applyNumberFormat="1" applyFont="1" applyFill="1" applyBorder="1" applyAlignment="1">
      <alignment wrapText="1"/>
    </xf>
    <xf numFmtId="165" fontId="6" fillId="6" borderId="7" xfId="4" applyFont="1" applyFill="1" applyBorder="1" applyAlignment="1">
      <alignment wrapText="1"/>
    </xf>
    <xf numFmtId="4" fontId="4" fillId="6" borderId="7" xfId="0" applyNumberFormat="1" applyFont="1" applyFill="1" applyBorder="1" applyAlignment="1">
      <alignment horizontal="right" wrapText="1"/>
    </xf>
    <xf numFmtId="165" fontId="4" fillId="10" borderId="7" xfId="4" applyFont="1" applyFill="1" applyBorder="1" applyAlignment="1">
      <alignment wrapText="1"/>
    </xf>
    <xf numFmtId="10" fontId="4" fillId="10" borderId="7" xfId="0" applyNumberFormat="1" applyFont="1" applyFill="1" applyBorder="1" applyAlignment="1">
      <alignment wrapText="1"/>
    </xf>
    <xf numFmtId="172" fontId="8" fillId="0" borderId="0" xfId="0" applyNumberFormat="1" applyFont="1"/>
    <xf numFmtId="165" fontId="4" fillId="0" borderId="0" xfId="4" applyFont="1" applyFill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10" fillId="0" borderId="12" xfId="0" applyFont="1" applyBorder="1"/>
    <xf numFmtId="0" fontId="26" fillId="0" borderId="12" xfId="0" applyFont="1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171" fontId="4" fillId="0" borderId="0" xfId="0" applyNumberFormat="1" applyFont="1" applyAlignment="1">
      <alignment horizontal="center"/>
    </xf>
    <xf numFmtId="172" fontId="4" fillId="0" borderId="0" xfId="4" applyNumberFormat="1" applyFont="1" applyBorder="1" applyAlignment="1">
      <alignment horizontal="center"/>
    </xf>
    <xf numFmtId="0" fontId="0" fillId="0" borderId="15" xfId="0" applyBorder="1"/>
    <xf numFmtId="0" fontId="6" fillId="0" borderId="14" xfId="0" applyFont="1" applyBorder="1" applyAlignment="1">
      <alignment horizontal="left" vertical="top"/>
    </xf>
    <xf numFmtId="172" fontId="14" fillId="0" borderId="0" xfId="4" applyNumberFormat="1" applyFont="1" applyBorder="1" applyAlignment="1">
      <alignment horizontal="center"/>
    </xf>
    <xf numFmtId="165" fontId="4" fillId="0" borderId="0" xfId="4" applyFont="1" applyBorder="1"/>
    <xf numFmtId="171" fontId="4" fillId="0" borderId="0" xfId="4" applyNumberFormat="1" applyFont="1" applyBorder="1"/>
    <xf numFmtId="0" fontId="27" fillId="0" borderId="0" xfId="0" applyFont="1"/>
    <xf numFmtId="0" fontId="27" fillId="0" borderId="15" xfId="0" applyFont="1" applyBorder="1"/>
    <xf numFmtId="165" fontId="6" fillId="0" borderId="0" xfId="4" applyFont="1" applyBorder="1"/>
    <xf numFmtId="171" fontId="6" fillId="0" borderId="0" xfId="4" applyNumberFormat="1" applyFont="1" applyBorder="1"/>
    <xf numFmtId="165" fontId="6" fillId="0" borderId="15" xfId="4" applyFont="1" applyBorder="1"/>
    <xf numFmtId="171" fontId="4" fillId="0" borderId="0" xfId="4" applyNumberFormat="1" applyFont="1" applyBorder="1" applyAlignment="1"/>
    <xf numFmtId="171" fontId="4" fillId="0" borderId="15" xfId="0" applyNumberFormat="1" applyFont="1" applyBorder="1"/>
    <xf numFmtId="175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0" fontId="6" fillId="7" borderId="7" xfId="2" applyNumberFormat="1" applyFont="1" applyFill="1" applyBorder="1" applyAlignment="1"/>
    <xf numFmtId="3" fontId="6" fillId="6" borderId="7" xfId="2" applyNumberFormat="1" applyFont="1" applyFill="1" applyBorder="1"/>
    <xf numFmtId="180" fontId="6" fillId="0" borderId="0" xfId="0" applyNumberFormat="1" applyFont="1"/>
    <xf numFmtId="0" fontId="25" fillId="0" borderId="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21" fillId="0" borderId="5" xfId="0" applyFont="1" applyBorder="1"/>
    <xf numFmtId="0" fontId="13" fillId="0" borderId="0" xfId="0" applyFont="1" applyAlignment="1">
      <alignment horizontal="right"/>
    </xf>
    <xf numFmtId="0" fontId="21" fillId="0" borderId="0" xfId="0" applyFont="1"/>
    <xf numFmtId="166" fontId="13" fillId="0" borderId="6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17" fontId="13" fillId="0" borderId="0" xfId="0" applyNumberFormat="1" applyFont="1" applyAlignment="1">
      <alignment horizontal="right"/>
    </xf>
    <xf numFmtId="14" fontId="13" fillId="0" borderId="6" xfId="0" applyNumberFormat="1" applyFont="1" applyBorder="1"/>
    <xf numFmtId="0" fontId="28" fillId="0" borderId="0" xfId="0" applyFont="1"/>
    <xf numFmtId="0" fontId="21" fillId="0" borderId="6" xfId="0" applyFont="1" applyBorder="1"/>
    <xf numFmtId="0" fontId="13" fillId="3" borderId="7" xfId="0" applyFont="1" applyFill="1" applyBorder="1" applyAlignment="1">
      <alignment horizontal="center" vertical="top"/>
    </xf>
    <xf numFmtId="0" fontId="13" fillId="3" borderId="7" xfId="0" applyFont="1" applyFill="1" applyBorder="1" applyAlignment="1">
      <alignment horizontal="center"/>
    </xf>
    <xf numFmtId="165" fontId="13" fillId="3" borderId="7" xfId="2" applyFont="1" applyFill="1" applyBorder="1" applyAlignment="1">
      <alignment horizontal="center"/>
    </xf>
    <xf numFmtId="165" fontId="13" fillId="4" borderId="7" xfId="2" applyFont="1" applyFill="1" applyBorder="1" applyAlignment="1">
      <alignment horizontal="center"/>
    </xf>
    <xf numFmtId="0" fontId="13" fillId="4" borderId="7" xfId="0" applyFont="1" applyFill="1" applyBorder="1" applyAlignment="1">
      <alignment horizontal="left" vertical="top"/>
    </xf>
    <xf numFmtId="0" fontId="13" fillId="4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165" fontId="13" fillId="5" borderId="7" xfId="2" applyFont="1" applyFill="1" applyBorder="1" applyAlignment="1">
      <alignment horizontal="center"/>
    </xf>
    <xf numFmtId="167" fontId="13" fillId="6" borderId="7" xfId="0" applyNumberFormat="1" applyFont="1" applyFill="1" applyBorder="1" applyAlignment="1">
      <alignment horizontal="center" vertical="top"/>
    </xf>
    <xf numFmtId="0" fontId="13" fillId="6" borderId="7" xfId="0" applyFont="1" applyFill="1" applyBorder="1"/>
    <xf numFmtId="0" fontId="21" fillId="6" borderId="7" xfId="0" applyFont="1" applyFill="1" applyBorder="1"/>
    <xf numFmtId="168" fontId="21" fillId="6" borderId="7" xfId="0" applyNumberFormat="1" applyFont="1" applyFill="1" applyBorder="1" applyAlignment="1">
      <alignment horizontal="center"/>
    </xf>
    <xf numFmtId="165" fontId="21" fillId="6" borderId="7" xfId="2" applyFont="1" applyFill="1" applyBorder="1"/>
    <xf numFmtId="165" fontId="21" fillId="7" borderId="7" xfId="2" applyFont="1" applyFill="1" applyBorder="1"/>
    <xf numFmtId="0" fontId="13" fillId="7" borderId="7" xfId="0" applyFont="1" applyFill="1" applyBorder="1" applyAlignment="1">
      <alignment horizontal="left" vertical="top"/>
    </xf>
    <xf numFmtId="4" fontId="13" fillId="7" borderId="7" xfId="0" applyNumberFormat="1" applyFont="1" applyFill="1" applyBorder="1"/>
    <xf numFmtId="0" fontId="21" fillId="8" borderId="7" xfId="0" applyFont="1" applyFill="1" applyBorder="1" applyAlignment="1">
      <alignment horizontal="center"/>
    </xf>
    <xf numFmtId="165" fontId="21" fillId="8" borderId="7" xfId="2" applyFont="1" applyFill="1" applyBorder="1"/>
    <xf numFmtId="2" fontId="21" fillId="6" borderId="7" xfId="0" applyNumberFormat="1" applyFont="1" applyFill="1" applyBorder="1" applyAlignment="1">
      <alignment horizontal="center" vertical="top"/>
    </xf>
    <xf numFmtId="0" fontId="21" fillId="6" borderId="7" xfId="0" applyFont="1" applyFill="1" applyBorder="1" applyAlignment="1">
      <alignment wrapText="1"/>
    </xf>
    <xf numFmtId="0" fontId="21" fillId="6" borderId="7" xfId="0" applyFont="1" applyFill="1" applyBorder="1" applyAlignment="1">
      <alignment horizontal="center"/>
    </xf>
    <xf numFmtId="4" fontId="21" fillId="6" borderId="7" xfId="2" applyNumberFormat="1" applyFont="1" applyFill="1" applyBorder="1"/>
    <xf numFmtId="169" fontId="21" fillId="6" borderId="7" xfId="2" applyNumberFormat="1" applyFont="1" applyFill="1" applyBorder="1" applyAlignment="1">
      <alignment wrapText="1"/>
    </xf>
    <xf numFmtId="177" fontId="21" fillId="6" borderId="7" xfId="2" applyNumberFormat="1" applyFont="1" applyFill="1" applyBorder="1" applyAlignment="1">
      <alignment wrapText="1"/>
    </xf>
    <xf numFmtId="2" fontId="21" fillId="7" borderId="7" xfId="0" applyNumberFormat="1" applyFont="1" applyFill="1" applyBorder="1" applyAlignment="1">
      <alignment horizontal="right"/>
    </xf>
    <xf numFmtId="4" fontId="21" fillId="7" borderId="7" xfId="2" applyNumberFormat="1" applyFont="1" applyFill="1" applyBorder="1" applyAlignment="1"/>
    <xf numFmtId="165" fontId="21" fillId="8" borderId="7" xfId="0" applyNumberFormat="1" applyFont="1" applyFill="1" applyBorder="1"/>
    <xf numFmtId="165" fontId="21" fillId="8" borderId="7" xfId="2" applyFont="1" applyFill="1" applyBorder="1" applyAlignment="1">
      <alignment wrapText="1"/>
    </xf>
    <xf numFmtId="168" fontId="21" fillId="6" borderId="7" xfId="2" applyNumberFormat="1" applyFont="1" applyFill="1" applyBorder="1"/>
    <xf numFmtId="165" fontId="13" fillId="8" borderId="7" xfId="0" applyNumberFormat="1" applyFont="1" applyFill="1" applyBorder="1"/>
    <xf numFmtId="165" fontId="13" fillId="8" borderId="7" xfId="2" applyFont="1" applyFill="1" applyBorder="1"/>
    <xf numFmtId="0" fontId="13" fillId="6" borderId="7" xfId="0" applyFont="1" applyFill="1" applyBorder="1" applyAlignment="1">
      <alignment wrapText="1"/>
    </xf>
    <xf numFmtId="0" fontId="13" fillId="6" borderId="7" xfId="0" applyFont="1" applyFill="1" applyBorder="1" applyAlignment="1">
      <alignment horizontal="center"/>
    </xf>
    <xf numFmtId="168" fontId="13" fillId="6" borderId="7" xfId="2" applyNumberFormat="1" applyFont="1" applyFill="1" applyBorder="1"/>
    <xf numFmtId="169" fontId="13" fillId="6" borderId="7" xfId="2" applyNumberFormat="1" applyFont="1" applyFill="1" applyBorder="1"/>
    <xf numFmtId="177" fontId="13" fillId="6" borderId="7" xfId="2" applyNumberFormat="1" applyFont="1" applyFill="1" applyBorder="1" applyAlignment="1">
      <alignment wrapText="1"/>
    </xf>
    <xf numFmtId="0" fontId="21" fillId="8" borderId="7" xfId="0" applyFont="1" applyFill="1" applyBorder="1"/>
    <xf numFmtId="165" fontId="13" fillId="8" borderId="7" xfId="2" applyFont="1" applyFill="1" applyBorder="1" applyAlignment="1">
      <alignment wrapText="1"/>
    </xf>
    <xf numFmtId="2" fontId="13" fillId="6" borderId="7" xfId="0" applyNumberFormat="1" applyFont="1" applyFill="1" applyBorder="1" applyAlignment="1">
      <alignment horizontal="center" vertical="top"/>
    </xf>
    <xf numFmtId="0" fontId="29" fillId="6" borderId="7" xfId="0" applyFont="1" applyFill="1" applyBorder="1" applyAlignment="1">
      <alignment wrapText="1"/>
    </xf>
    <xf numFmtId="0" fontId="30" fillId="6" borderId="7" xfId="0" applyFont="1" applyFill="1" applyBorder="1" applyAlignment="1">
      <alignment horizontal="center"/>
    </xf>
    <xf numFmtId="168" fontId="30" fillId="6" borderId="7" xfId="2" applyNumberFormat="1" applyFont="1" applyFill="1" applyBorder="1"/>
    <xf numFmtId="169" fontId="30" fillId="6" borderId="7" xfId="2" applyNumberFormat="1" applyFont="1" applyFill="1" applyBorder="1"/>
    <xf numFmtId="177" fontId="30" fillId="6" borderId="7" xfId="2" applyNumberFormat="1" applyFont="1" applyFill="1" applyBorder="1" applyAlignment="1">
      <alignment wrapText="1"/>
    </xf>
    <xf numFmtId="0" fontId="30" fillId="6" borderId="7" xfId="0" applyFont="1" applyFill="1" applyBorder="1" applyAlignment="1">
      <alignment wrapText="1"/>
    </xf>
    <xf numFmtId="179" fontId="30" fillId="6" borderId="7" xfId="2" applyNumberFormat="1" applyFont="1" applyFill="1" applyBorder="1"/>
    <xf numFmtId="2" fontId="21" fillId="6" borderId="7" xfId="0" applyNumberFormat="1" applyFont="1" applyFill="1" applyBorder="1" applyAlignment="1">
      <alignment horizontal="center" vertical="center"/>
    </xf>
    <xf numFmtId="4" fontId="21" fillId="8" borderId="7" xfId="0" applyNumberFormat="1" applyFont="1" applyFill="1" applyBorder="1"/>
    <xf numFmtId="0" fontId="30" fillId="6" borderId="7" xfId="0" applyFont="1" applyFill="1" applyBorder="1" applyAlignment="1">
      <alignment vertical="center" wrapText="1"/>
    </xf>
    <xf numFmtId="165" fontId="30" fillId="6" borderId="7" xfId="2" applyFont="1" applyFill="1" applyBorder="1" applyAlignment="1">
      <alignment horizontal="center"/>
    </xf>
    <xf numFmtId="0" fontId="30" fillId="6" borderId="7" xfId="0" applyFont="1" applyFill="1" applyBorder="1" applyAlignment="1">
      <alignment horizontal="left" wrapText="1"/>
    </xf>
    <xf numFmtId="4" fontId="21" fillId="8" borderId="7" xfId="0" applyNumberFormat="1" applyFont="1" applyFill="1" applyBorder="1" applyAlignment="1">
      <alignment horizontal="center"/>
    </xf>
    <xf numFmtId="0" fontId="29" fillId="6" borderId="7" xfId="0" applyFont="1" applyFill="1" applyBorder="1" applyAlignment="1">
      <alignment horizontal="left" wrapText="1"/>
    </xf>
    <xf numFmtId="0" fontId="29" fillId="6" borderId="7" xfId="0" applyFont="1" applyFill="1" applyBorder="1" applyAlignment="1">
      <alignment horizontal="center"/>
    </xf>
    <xf numFmtId="168" fontId="29" fillId="6" borderId="7" xfId="2" applyNumberFormat="1" applyFont="1" applyFill="1" applyBorder="1"/>
    <xf numFmtId="169" fontId="29" fillId="6" borderId="7" xfId="2" applyNumberFormat="1" applyFont="1" applyFill="1" applyBorder="1"/>
    <xf numFmtId="39" fontId="30" fillId="6" borderId="7" xfId="2" applyNumberFormat="1" applyFont="1" applyFill="1" applyBorder="1" applyAlignment="1">
      <alignment wrapText="1"/>
    </xf>
    <xf numFmtId="165" fontId="30" fillId="6" borderId="7" xfId="2" applyFont="1" applyFill="1" applyBorder="1"/>
    <xf numFmtId="171" fontId="13" fillId="8" borderId="7" xfId="0" applyNumberFormat="1" applyFont="1" applyFill="1" applyBorder="1" applyAlignment="1">
      <alignment horizontal="center"/>
    </xf>
    <xf numFmtId="171" fontId="13" fillId="8" borderId="7" xfId="2" applyNumberFormat="1" applyFont="1" applyFill="1" applyBorder="1" applyAlignment="1">
      <alignment wrapText="1"/>
    </xf>
    <xf numFmtId="171" fontId="13" fillId="8" borderId="7" xfId="2" applyNumberFormat="1" applyFont="1" applyFill="1" applyBorder="1"/>
    <xf numFmtId="4" fontId="30" fillId="6" borderId="7" xfId="2" applyNumberFormat="1" applyFont="1" applyFill="1" applyBorder="1"/>
    <xf numFmtId="2" fontId="21" fillId="6" borderId="7" xfId="0" applyNumberFormat="1" applyFont="1" applyFill="1" applyBorder="1" applyAlignment="1">
      <alignment horizontal="center" wrapText="1"/>
    </xf>
    <xf numFmtId="169" fontId="30" fillId="6" borderId="7" xfId="2" applyNumberFormat="1" applyFont="1" applyFill="1" applyBorder="1" applyAlignment="1">
      <alignment wrapText="1"/>
    </xf>
    <xf numFmtId="165" fontId="21" fillId="7" borderId="7" xfId="3" applyNumberFormat="1" applyFont="1" applyFill="1" applyBorder="1" applyAlignment="1">
      <alignment horizontal="center"/>
    </xf>
    <xf numFmtId="4" fontId="21" fillId="7" borderId="7" xfId="2" applyNumberFormat="1" applyFont="1" applyFill="1" applyBorder="1" applyAlignment="1">
      <alignment horizontal="center"/>
    </xf>
    <xf numFmtId="171" fontId="13" fillId="8" borderId="7" xfId="2" applyNumberFormat="1" applyFont="1" applyFill="1" applyBorder="1" applyAlignment="1">
      <alignment horizontal="right"/>
    </xf>
    <xf numFmtId="0" fontId="30" fillId="6" borderId="7" xfId="0" applyFont="1" applyFill="1" applyBorder="1" applyAlignment="1">
      <alignment horizontal="center" wrapText="1"/>
    </xf>
    <xf numFmtId="2" fontId="30" fillId="6" borderId="7" xfId="0" applyNumberFormat="1" applyFont="1" applyFill="1" applyBorder="1" applyAlignment="1">
      <alignment horizontal="right" wrapText="1"/>
    </xf>
    <xf numFmtId="169" fontId="30" fillId="6" borderId="7" xfId="0" applyNumberFormat="1" applyFont="1" applyFill="1" applyBorder="1" applyAlignment="1">
      <alignment horizontal="center" wrapText="1"/>
    </xf>
    <xf numFmtId="169" fontId="30" fillId="6" borderId="7" xfId="0" applyNumberFormat="1" applyFont="1" applyFill="1" applyBorder="1" applyAlignment="1">
      <alignment horizontal="right" wrapText="1"/>
    </xf>
    <xf numFmtId="0" fontId="29" fillId="6" borderId="7" xfId="0" applyFont="1" applyFill="1" applyBorder="1" applyAlignment="1">
      <alignment horizontal="center" wrapText="1"/>
    </xf>
    <xf numFmtId="0" fontId="29" fillId="6" borderId="7" xfId="0" applyFont="1" applyFill="1" applyBorder="1" applyAlignment="1">
      <alignment horizontal="right" wrapText="1"/>
    </xf>
    <xf numFmtId="169" fontId="29" fillId="6" borderId="7" xfId="0" applyNumberFormat="1" applyFont="1" applyFill="1" applyBorder="1" applyAlignment="1">
      <alignment wrapText="1"/>
    </xf>
    <xf numFmtId="2" fontId="13" fillId="6" borderId="7" xfId="0" applyNumberFormat="1" applyFont="1" applyFill="1" applyBorder="1" applyAlignment="1">
      <alignment horizontal="center" wrapText="1"/>
    </xf>
    <xf numFmtId="2" fontId="21" fillId="6" borderId="7" xfId="0" applyNumberFormat="1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left" vertical="top" wrapText="1"/>
    </xf>
    <xf numFmtId="4" fontId="21" fillId="8" borderId="7" xfId="2" applyNumberFormat="1" applyFont="1" applyFill="1" applyBorder="1"/>
    <xf numFmtId="171" fontId="21" fillId="8" borderId="7" xfId="2" applyNumberFormat="1" applyFont="1" applyFill="1" applyBorder="1"/>
    <xf numFmtId="0" fontId="30" fillId="6" borderId="7" xfId="0" applyFont="1" applyFill="1" applyBorder="1" applyAlignment="1">
      <alignment horizontal="right" wrapText="1"/>
    </xf>
    <xf numFmtId="169" fontId="30" fillId="6" borderId="7" xfId="0" applyNumberFormat="1" applyFont="1" applyFill="1" applyBorder="1" applyAlignment="1">
      <alignment wrapText="1"/>
    </xf>
    <xf numFmtId="2" fontId="29" fillId="6" borderId="7" xfId="0" applyNumberFormat="1" applyFont="1" applyFill="1" applyBorder="1" applyAlignment="1">
      <alignment horizontal="right" wrapText="1"/>
    </xf>
    <xf numFmtId="169" fontId="29" fillId="6" borderId="7" xfId="0" applyNumberFormat="1" applyFont="1" applyFill="1" applyBorder="1" applyAlignment="1">
      <alignment horizontal="right" wrapText="1"/>
    </xf>
    <xf numFmtId="4" fontId="13" fillId="8" borderId="7" xfId="2" applyNumberFormat="1" applyFont="1" applyFill="1" applyBorder="1"/>
    <xf numFmtId="0" fontId="13" fillId="6" borderId="7" xfId="0" applyFont="1" applyFill="1" applyBorder="1" applyAlignment="1">
      <alignment horizontal="left" wrapText="1"/>
    </xf>
    <xf numFmtId="0" fontId="21" fillId="6" borderId="7" xfId="0" applyFont="1" applyFill="1" applyBorder="1" applyAlignment="1">
      <alignment horizontal="center" wrapText="1"/>
    </xf>
    <xf numFmtId="2" fontId="21" fillId="6" borderId="7" xfId="0" applyNumberFormat="1" applyFont="1" applyFill="1" applyBorder="1" applyAlignment="1">
      <alignment horizontal="right" wrapText="1"/>
    </xf>
    <xf numFmtId="169" fontId="21" fillId="6" borderId="7" xfId="0" applyNumberFormat="1" applyFont="1" applyFill="1" applyBorder="1" applyAlignment="1">
      <alignment horizontal="right" wrapText="1"/>
    </xf>
    <xf numFmtId="0" fontId="21" fillId="6" borderId="7" xfId="0" applyFont="1" applyFill="1" applyBorder="1" applyAlignment="1">
      <alignment horizontal="left" wrapText="1"/>
    </xf>
    <xf numFmtId="0" fontId="13" fillId="6" borderId="7" xfId="0" applyFont="1" applyFill="1" applyBorder="1" applyAlignment="1">
      <alignment horizontal="center" wrapText="1"/>
    </xf>
    <xf numFmtId="2" fontId="13" fillId="6" borderId="7" xfId="0" applyNumberFormat="1" applyFont="1" applyFill="1" applyBorder="1" applyAlignment="1">
      <alignment horizontal="right" wrapText="1"/>
    </xf>
    <xf numFmtId="169" fontId="13" fillId="6" borderId="7" xfId="0" applyNumberFormat="1" applyFont="1" applyFill="1" applyBorder="1" applyAlignment="1">
      <alignment horizontal="right" wrapText="1"/>
    </xf>
    <xf numFmtId="0" fontId="21" fillId="7" borderId="7" xfId="2" applyNumberFormat="1" applyFont="1" applyFill="1" applyBorder="1" applyAlignment="1">
      <alignment horizontal="center"/>
    </xf>
    <xf numFmtId="0" fontId="21" fillId="6" borderId="7" xfId="0" applyFont="1" applyFill="1" applyBorder="1" applyAlignment="1">
      <alignment horizontal="right" wrapText="1"/>
    </xf>
    <xf numFmtId="169" fontId="21" fillId="6" borderId="7" xfId="0" applyNumberFormat="1" applyFont="1" applyFill="1" applyBorder="1" applyAlignment="1">
      <alignment wrapText="1"/>
    </xf>
    <xf numFmtId="169" fontId="21" fillId="0" borderId="0" xfId="0" applyNumberFormat="1" applyFont="1"/>
    <xf numFmtId="172" fontId="31" fillId="0" borderId="0" xfId="0" applyNumberFormat="1" applyFont="1"/>
    <xf numFmtId="165" fontId="13" fillId="0" borderId="0" xfId="0" applyNumberFormat="1" applyFont="1"/>
    <xf numFmtId="172" fontId="13" fillId="0" borderId="0" xfId="0" applyNumberFormat="1" applyFont="1"/>
    <xf numFmtId="171" fontId="13" fillId="0" borderId="0" xfId="0" applyNumberFormat="1" applyFont="1"/>
    <xf numFmtId="0" fontId="32" fillId="0" borderId="0" xfId="0" applyFont="1"/>
    <xf numFmtId="0" fontId="31" fillId="0" borderId="0" xfId="0" applyFont="1"/>
    <xf numFmtId="165" fontId="31" fillId="0" borderId="0" xfId="0" applyNumberFormat="1" applyFont="1"/>
    <xf numFmtId="165" fontId="21" fillId="0" borderId="0" xfId="2" applyFont="1" applyFill="1" applyBorder="1"/>
    <xf numFmtId="2" fontId="21" fillId="0" borderId="0" xfId="0" applyNumberFormat="1" applyFont="1" applyAlignment="1">
      <alignment horizontal="right"/>
    </xf>
    <xf numFmtId="165" fontId="21" fillId="0" borderId="0" xfId="3" applyNumberFormat="1" applyFont="1" applyFill="1" applyBorder="1" applyAlignment="1">
      <alignment horizontal="center"/>
    </xf>
    <xf numFmtId="0" fontId="21" fillId="0" borderId="0" xfId="2" applyNumberFormat="1" applyFont="1" applyFill="1" applyBorder="1" applyAlignment="1">
      <alignment horizontal="center"/>
    </xf>
    <xf numFmtId="171" fontId="13" fillId="0" borderId="0" xfId="2" applyNumberFormat="1" applyFont="1" applyFill="1" applyBorder="1" applyAlignment="1">
      <alignment wrapText="1"/>
    </xf>
    <xf numFmtId="4" fontId="13" fillId="0" borderId="0" xfId="2" applyNumberFormat="1" applyFont="1" applyFill="1" applyBorder="1"/>
    <xf numFmtId="165" fontId="13" fillId="0" borderId="0" xfId="2" applyFont="1" applyFill="1" applyBorder="1"/>
    <xf numFmtId="2" fontId="21" fillId="6" borderId="7" xfId="0" applyNumberFormat="1" applyFont="1" applyFill="1" applyBorder="1" applyAlignment="1">
      <alignment horizontal="center" vertical="top" wrapText="1"/>
    </xf>
    <xf numFmtId="2" fontId="21" fillId="6" borderId="7" xfId="0" applyNumberFormat="1" applyFont="1" applyFill="1" applyBorder="1" applyAlignment="1">
      <alignment horizontal="left" wrapText="1"/>
    </xf>
    <xf numFmtId="4" fontId="21" fillId="6" borderId="7" xfId="0" applyNumberFormat="1" applyFont="1" applyFill="1" applyBorder="1" applyAlignment="1">
      <alignment horizontal="center" wrapText="1"/>
    </xf>
    <xf numFmtId="4" fontId="21" fillId="6" borderId="7" xfId="0" applyNumberFormat="1" applyFont="1" applyFill="1" applyBorder="1" applyAlignment="1">
      <alignment horizontal="right" wrapText="1"/>
    </xf>
    <xf numFmtId="165" fontId="21" fillId="10" borderId="7" xfId="4" applyFont="1" applyFill="1" applyBorder="1" applyAlignment="1">
      <alignment wrapText="1"/>
    </xf>
    <xf numFmtId="10" fontId="21" fillId="10" borderId="7" xfId="0" applyNumberFormat="1" applyFont="1" applyFill="1" applyBorder="1" applyAlignment="1">
      <alignment wrapText="1"/>
    </xf>
    <xf numFmtId="165" fontId="21" fillId="8" borderId="7" xfId="4" applyFont="1" applyFill="1" applyBorder="1" applyAlignment="1">
      <alignment horizontal="center" wrapText="1"/>
    </xf>
    <xf numFmtId="2" fontId="21" fillId="6" borderId="7" xfId="0" applyNumberFormat="1" applyFont="1" applyFill="1" applyBorder="1" applyAlignment="1">
      <alignment horizontal="left"/>
    </xf>
    <xf numFmtId="0" fontId="21" fillId="6" borderId="7" xfId="0" applyFont="1" applyFill="1" applyBorder="1" applyAlignment="1">
      <alignment vertical="center" wrapText="1"/>
    </xf>
    <xf numFmtId="165" fontId="21" fillId="6" borderId="7" xfId="4" applyFont="1" applyFill="1" applyBorder="1" applyAlignment="1">
      <alignment horizontal="center" wrapText="1"/>
    </xf>
    <xf numFmtId="4" fontId="21" fillId="6" borderId="7" xfId="4" applyNumberFormat="1" applyFont="1" applyFill="1" applyBorder="1" applyAlignment="1">
      <alignment horizontal="right" wrapText="1"/>
    </xf>
    <xf numFmtId="165" fontId="21" fillId="8" borderId="7" xfId="4" applyFont="1" applyFill="1" applyBorder="1" applyAlignment="1">
      <alignment wrapText="1"/>
    </xf>
    <xf numFmtId="4" fontId="21" fillId="6" borderId="7" xfId="4" applyNumberFormat="1" applyFont="1" applyFill="1" applyBorder="1" applyAlignment="1">
      <alignment wrapText="1"/>
    </xf>
    <xf numFmtId="165" fontId="21" fillId="6" borderId="7" xfId="4" applyFont="1" applyFill="1" applyBorder="1" applyAlignment="1">
      <alignment wrapText="1"/>
    </xf>
    <xf numFmtId="4" fontId="13" fillId="6" borderId="7" xfId="0" applyNumberFormat="1" applyFont="1" applyFill="1" applyBorder="1" applyAlignment="1">
      <alignment horizontal="right" wrapText="1"/>
    </xf>
    <xf numFmtId="165" fontId="13" fillId="10" borderId="7" xfId="4" applyFont="1" applyFill="1" applyBorder="1" applyAlignment="1">
      <alignment wrapText="1"/>
    </xf>
    <xf numFmtId="165" fontId="13" fillId="8" borderId="7" xfId="4" applyFont="1" applyFill="1" applyBorder="1" applyAlignment="1">
      <alignment horizontal="center" wrapText="1"/>
    </xf>
    <xf numFmtId="2" fontId="13" fillId="6" borderId="7" xfId="0" applyNumberFormat="1" applyFont="1" applyFill="1" applyBorder="1" applyAlignment="1">
      <alignment horizontal="center" vertical="center" wrapText="1"/>
    </xf>
    <xf numFmtId="165" fontId="13" fillId="6" borderId="7" xfId="4" applyFont="1" applyFill="1" applyBorder="1" applyAlignment="1">
      <alignment horizontal="center" wrapText="1"/>
    </xf>
    <xf numFmtId="4" fontId="13" fillId="6" borderId="7" xfId="0" applyNumberFormat="1" applyFont="1" applyFill="1" applyBorder="1" applyAlignment="1">
      <alignment horizontal="center" wrapText="1"/>
    </xf>
    <xf numFmtId="4" fontId="13" fillId="6" borderId="7" xfId="4" applyNumberFormat="1" applyFont="1" applyFill="1" applyBorder="1" applyAlignment="1">
      <alignment wrapText="1"/>
    </xf>
    <xf numFmtId="165" fontId="13" fillId="8" borderId="7" xfId="4" applyFont="1" applyFill="1" applyBorder="1" applyAlignment="1">
      <alignment wrapText="1"/>
    </xf>
    <xf numFmtId="166" fontId="31" fillId="0" borderId="0" xfId="0" applyNumberFormat="1" applyFont="1"/>
    <xf numFmtId="166" fontId="13" fillId="0" borderId="0" xfId="4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2" xfId="0" applyFont="1" applyBorder="1"/>
    <xf numFmtId="0" fontId="28" fillId="0" borderId="3" xfId="0" applyFont="1" applyBorder="1"/>
    <xf numFmtId="0" fontId="13" fillId="0" borderId="3" xfId="0" applyFont="1" applyBorder="1"/>
    <xf numFmtId="0" fontId="33" fillId="0" borderId="3" xfId="0" applyFont="1" applyBorder="1"/>
    <xf numFmtId="0" fontId="28" fillId="0" borderId="4" xfId="0" applyFont="1" applyBorder="1"/>
    <xf numFmtId="0" fontId="28" fillId="0" borderId="5" xfId="0" applyFont="1" applyBorder="1"/>
    <xf numFmtId="0" fontId="21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right"/>
    </xf>
    <xf numFmtId="0" fontId="13" fillId="0" borderId="6" xfId="0" applyFont="1" applyBorder="1" applyAlignment="1">
      <alignment horizontal="center"/>
    </xf>
    <xf numFmtId="172" fontId="13" fillId="0" borderId="0" xfId="0" applyNumberFormat="1" applyFont="1" applyAlignment="1">
      <alignment horizontal="center"/>
    </xf>
    <xf numFmtId="172" fontId="13" fillId="0" borderId="0" xfId="4" applyNumberFormat="1" applyFont="1" applyBorder="1" applyAlignment="1">
      <alignment horizontal="center"/>
    </xf>
    <xf numFmtId="0" fontId="28" fillId="0" borderId="6" xfId="0" applyFont="1" applyBorder="1"/>
    <xf numFmtId="0" fontId="21" fillId="0" borderId="5" xfId="0" applyFont="1" applyBorder="1" applyAlignment="1">
      <alignment horizontal="left" vertical="top"/>
    </xf>
    <xf numFmtId="174" fontId="13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9" fontId="13" fillId="0" borderId="0" xfId="3" applyFont="1" applyBorder="1" applyAlignment="1">
      <alignment horizontal="center"/>
    </xf>
    <xf numFmtId="174" fontId="34" fillId="0" borderId="0" xfId="0" applyNumberFormat="1" applyFont="1" applyAlignment="1">
      <alignment horizontal="center"/>
    </xf>
    <xf numFmtId="172" fontId="34" fillId="0" borderId="0" xfId="4" applyNumberFormat="1" applyFont="1" applyBorder="1" applyAlignment="1">
      <alignment horizontal="center"/>
    </xf>
    <xf numFmtId="165" fontId="13" fillId="0" borderId="0" xfId="4" applyFont="1" applyBorder="1"/>
    <xf numFmtId="0" fontId="13" fillId="0" borderId="0" xfId="0" applyFont="1" applyAlignment="1">
      <alignment horizontal="left" vertical="top"/>
    </xf>
    <xf numFmtId="171" fontId="13" fillId="0" borderId="0" xfId="4" applyNumberFormat="1" applyFont="1" applyBorder="1"/>
    <xf numFmtId="175" fontId="13" fillId="0" borderId="0" xfId="0" applyNumberFormat="1" applyFont="1" applyAlignment="1">
      <alignment horizontal="center"/>
    </xf>
    <xf numFmtId="0" fontId="35" fillId="0" borderId="0" xfId="0" applyFont="1"/>
    <xf numFmtId="0" fontId="35" fillId="0" borderId="6" xfId="0" applyFont="1" applyBorder="1"/>
    <xf numFmtId="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4" applyFont="1" applyBorder="1"/>
    <xf numFmtId="172" fontId="21" fillId="0" borderId="0" xfId="4" applyNumberFormat="1" applyFont="1" applyBorder="1"/>
    <xf numFmtId="0" fontId="21" fillId="0" borderId="0" xfId="0" applyFont="1" applyAlignment="1">
      <alignment horizontal="left" vertical="top"/>
    </xf>
    <xf numFmtId="165" fontId="21" fillId="0" borderId="6" xfId="4" applyFont="1" applyBorder="1"/>
    <xf numFmtId="0" fontId="29" fillId="0" borderId="0" xfId="0" applyFont="1" applyAlignment="1">
      <alignment horizontal="left"/>
    </xf>
    <xf numFmtId="172" fontId="21" fillId="0" borderId="0" xfId="0" applyNumberFormat="1" applyFont="1"/>
    <xf numFmtId="171" fontId="13" fillId="0" borderId="0" xfId="4" applyNumberFormat="1" applyFont="1" applyBorder="1" applyAlignment="1"/>
    <xf numFmtId="171" fontId="13" fillId="0" borderId="6" xfId="0" applyNumberFormat="1" applyFont="1" applyBorder="1"/>
    <xf numFmtId="171" fontId="16" fillId="0" borderId="0" xfId="0" applyNumberFormat="1" applyFont="1" applyAlignment="1">
      <alignment horizontal="center"/>
    </xf>
    <xf numFmtId="172" fontId="28" fillId="0" borderId="0" xfId="0" applyNumberFormat="1" applyFont="1"/>
    <xf numFmtId="171" fontId="21" fillId="0" borderId="0" xfId="4" applyNumberFormat="1" applyFont="1" applyBorder="1"/>
    <xf numFmtId="175" fontId="13" fillId="0" borderId="6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165" fontId="9" fillId="0" borderId="0" xfId="2" applyFont="1" applyBorder="1"/>
    <xf numFmtId="172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10" fillId="3" borderId="7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wrapText="1"/>
    </xf>
    <xf numFmtId="165" fontId="10" fillId="3" borderId="7" xfId="2" applyFont="1" applyFill="1" applyBorder="1" applyAlignment="1">
      <alignment horizontal="center" wrapText="1"/>
    </xf>
    <xf numFmtId="165" fontId="10" fillId="3" borderId="7" xfId="2" applyFont="1" applyFill="1" applyBorder="1" applyAlignment="1">
      <alignment horizontal="right" wrapText="1"/>
    </xf>
    <xf numFmtId="165" fontId="10" fillId="4" borderId="7" xfId="2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165" fontId="10" fillId="5" borderId="7" xfId="2" applyFont="1" applyFill="1" applyBorder="1" applyAlignment="1">
      <alignment horizontal="center" wrapText="1"/>
    </xf>
    <xf numFmtId="165" fontId="37" fillId="0" borderId="0" xfId="2" applyFont="1" applyBorder="1" applyAlignment="1">
      <alignment horizontal="center" wrapText="1"/>
    </xf>
    <xf numFmtId="2" fontId="10" fillId="6" borderId="7" xfId="0" applyNumberFormat="1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wrapText="1"/>
    </xf>
    <xf numFmtId="0" fontId="22" fillId="6" borderId="7" xfId="0" applyFont="1" applyFill="1" applyBorder="1" applyAlignment="1">
      <alignment wrapText="1"/>
    </xf>
    <xf numFmtId="0" fontId="22" fillId="6" borderId="7" xfId="0" applyFont="1" applyFill="1" applyBorder="1" applyAlignment="1">
      <alignment horizontal="center" wrapText="1"/>
    </xf>
    <xf numFmtId="0" fontId="22" fillId="6" borderId="7" xfId="2" applyNumberFormat="1" applyFont="1" applyFill="1" applyBorder="1" applyAlignment="1">
      <alignment wrapText="1"/>
    </xf>
    <xf numFmtId="0" fontId="22" fillId="6" borderId="7" xfId="2" applyNumberFormat="1" applyFont="1" applyFill="1" applyBorder="1" applyAlignment="1">
      <alignment horizontal="right" wrapText="1"/>
    </xf>
    <xf numFmtId="165" fontId="22" fillId="7" borderId="7" xfId="2" applyFont="1" applyFill="1" applyBorder="1" applyAlignment="1">
      <alignment wrapText="1"/>
    </xf>
    <xf numFmtId="0" fontId="10" fillId="7" borderId="7" xfId="0" applyFont="1" applyFill="1" applyBorder="1" applyAlignment="1">
      <alignment horizontal="left" vertical="top" wrapText="1"/>
    </xf>
    <xf numFmtId="0" fontId="10" fillId="7" borderId="7" xfId="0" applyFont="1" applyFill="1" applyBorder="1" applyAlignment="1">
      <alignment wrapText="1"/>
    </xf>
    <xf numFmtId="0" fontId="22" fillId="8" borderId="7" xfId="0" applyFont="1" applyFill="1" applyBorder="1" applyAlignment="1">
      <alignment horizontal="center" wrapText="1"/>
    </xf>
    <xf numFmtId="165" fontId="22" fillId="8" borderId="7" xfId="2" applyFont="1" applyFill="1" applyBorder="1" applyAlignment="1">
      <alignment wrapText="1"/>
    </xf>
    <xf numFmtId="165" fontId="12" fillId="0" borderId="0" xfId="2" applyFont="1" applyBorder="1" applyAlignment="1">
      <alignment wrapText="1"/>
    </xf>
    <xf numFmtId="2" fontId="22" fillId="6" borderId="7" xfId="0" applyNumberFormat="1" applyFont="1" applyFill="1" applyBorder="1" applyAlignment="1">
      <alignment horizontal="center" vertical="top" wrapText="1"/>
    </xf>
    <xf numFmtId="4" fontId="22" fillId="6" borderId="7" xfId="0" applyNumberFormat="1" applyFont="1" applyFill="1" applyBorder="1" applyAlignment="1">
      <alignment horizontal="center" wrapText="1"/>
    </xf>
    <xf numFmtId="0" fontId="22" fillId="6" borderId="7" xfId="2" applyNumberFormat="1" applyFont="1" applyFill="1" applyBorder="1" applyAlignment="1">
      <alignment horizontal="center" wrapText="1"/>
    </xf>
    <xf numFmtId="2" fontId="22" fillId="6" borderId="7" xfId="2" applyNumberFormat="1" applyFont="1" applyFill="1" applyBorder="1" applyAlignment="1">
      <alignment wrapText="1"/>
    </xf>
    <xf numFmtId="4" fontId="22" fillId="6" borderId="7" xfId="2" applyNumberFormat="1" applyFont="1" applyFill="1" applyBorder="1" applyAlignment="1">
      <alignment horizontal="right" wrapText="1"/>
    </xf>
    <xf numFmtId="2" fontId="22" fillId="7" borderId="7" xfId="0" applyNumberFormat="1" applyFont="1" applyFill="1" applyBorder="1" applyAlignment="1">
      <alignment horizontal="right" wrapText="1"/>
    </xf>
    <xf numFmtId="10" fontId="22" fillId="7" borderId="7" xfId="2" applyNumberFormat="1" applyFont="1" applyFill="1" applyBorder="1" applyAlignment="1">
      <alignment wrapText="1"/>
    </xf>
    <xf numFmtId="165" fontId="1" fillId="0" borderId="0" xfId="2" applyBorder="1" applyAlignment="1">
      <alignment wrapText="1"/>
    </xf>
    <xf numFmtId="2" fontId="22" fillId="6" borderId="7" xfId="0" applyNumberFormat="1" applyFont="1" applyFill="1" applyBorder="1" applyAlignment="1">
      <alignment horizontal="center" wrapText="1"/>
    </xf>
    <xf numFmtId="4" fontId="22" fillId="6" borderId="7" xfId="2" applyNumberFormat="1" applyFont="1" applyFill="1" applyBorder="1" applyAlignment="1">
      <alignment wrapText="1"/>
    </xf>
    <xf numFmtId="0" fontId="22" fillId="6" borderId="7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wrapText="1"/>
    </xf>
    <xf numFmtId="0" fontId="10" fillId="6" borderId="7" xfId="2" applyNumberFormat="1" applyFont="1" applyFill="1" applyBorder="1" applyAlignment="1">
      <alignment horizontal="center" wrapText="1"/>
    </xf>
    <xf numFmtId="0" fontId="10" fillId="6" borderId="7" xfId="2" applyNumberFormat="1" applyFont="1" applyFill="1" applyBorder="1" applyAlignment="1">
      <alignment wrapText="1"/>
    </xf>
    <xf numFmtId="172" fontId="10" fillId="6" borderId="7" xfId="2" applyNumberFormat="1" applyFont="1" applyFill="1" applyBorder="1" applyAlignment="1">
      <alignment horizontal="right" wrapText="1"/>
    </xf>
    <xf numFmtId="170" fontId="22" fillId="7" borderId="7" xfId="2" applyNumberFormat="1" applyFont="1" applyFill="1" applyBorder="1" applyAlignment="1">
      <alignment wrapText="1"/>
    </xf>
    <xf numFmtId="173" fontId="10" fillId="8" borderId="7" xfId="2" applyNumberFormat="1" applyFont="1" applyFill="1" applyBorder="1" applyAlignment="1">
      <alignment wrapText="1"/>
    </xf>
    <xf numFmtId="2" fontId="22" fillId="6" borderId="7" xfId="0" applyNumberFormat="1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horizontal="center" vertical="center" wrapText="1"/>
    </xf>
    <xf numFmtId="172" fontId="10" fillId="8" borderId="7" xfId="2" applyNumberFormat="1" applyFont="1" applyFill="1" applyBorder="1" applyAlignment="1">
      <alignment wrapText="1"/>
    </xf>
    <xf numFmtId="0" fontId="10" fillId="6" borderId="7" xfId="0" applyFont="1" applyFill="1" applyBorder="1" applyAlignment="1">
      <alignment horizontal="left" wrapText="1"/>
    </xf>
    <xf numFmtId="4" fontId="22" fillId="8" borderId="7" xfId="0" applyNumberFormat="1" applyFont="1" applyFill="1" applyBorder="1" applyAlignment="1">
      <alignment wrapText="1"/>
    </xf>
    <xf numFmtId="0" fontId="19" fillId="6" borderId="7" xfId="0" applyFont="1" applyFill="1" applyBorder="1" applyAlignment="1">
      <alignment horizontal="left" wrapText="1"/>
    </xf>
    <xf numFmtId="2" fontId="19" fillId="6" borderId="7" xfId="0" applyNumberFormat="1" applyFont="1" applyFill="1" applyBorder="1" applyAlignment="1">
      <alignment horizontal="center" wrapText="1"/>
    </xf>
    <xf numFmtId="0" fontId="19" fillId="6" borderId="7" xfId="2" applyNumberFormat="1" applyFont="1" applyFill="1" applyBorder="1" applyAlignment="1">
      <alignment horizontal="center" wrapText="1"/>
    </xf>
    <xf numFmtId="4" fontId="19" fillId="6" borderId="7" xfId="2" applyNumberFormat="1" applyFont="1" applyFill="1" applyBorder="1" applyAlignment="1">
      <alignment wrapText="1"/>
    </xf>
    <xf numFmtId="4" fontId="19" fillId="6" borderId="7" xfId="2" applyNumberFormat="1" applyFont="1" applyFill="1" applyBorder="1" applyAlignment="1">
      <alignment horizontal="right" wrapText="1"/>
    </xf>
    <xf numFmtId="0" fontId="11" fillId="6" borderId="7" xfId="0" applyFont="1" applyFill="1" applyBorder="1" applyAlignment="1">
      <alignment horizontal="left" wrapText="1"/>
    </xf>
    <xf numFmtId="2" fontId="11" fillId="6" borderId="7" xfId="0" applyNumberFormat="1" applyFont="1" applyFill="1" applyBorder="1" applyAlignment="1">
      <alignment horizontal="center" wrapText="1"/>
    </xf>
    <xf numFmtId="0" fontId="11" fillId="6" borderId="7" xfId="2" applyNumberFormat="1" applyFont="1" applyFill="1" applyBorder="1" applyAlignment="1">
      <alignment horizontal="center" wrapText="1"/>
    </xf>
    <xf numFmtId="4" fontId="11" fillId="6" borderId="7" xfId="2" applyNumberFormat="1" applyFont="1" applyFill="1" applyBorder="1" applyAlignment="1">
      <alignment wrapText="1"/>
    </xf>
    <xf numFmtId="172" fontId="11" fillId="6" borderId="7" xfId="2" applyNumberFormat="1" applyFont="1" applyFill="1" applyBorder="1" applyAlignment="1">
      <alignment horizontal="right" wrapText="1"/>
    </xf>
    <xf numFmtId="0" fontId="22" fillId="6" borderId="7" xfId="0" applyFont="1" applyFill="1" applyBorder="1" applyAlignment="1">
      <alignment horizontal="left" wrapText="1"/>
    </xf>
    <xf numFmtId="0" fontId="19" fillId="6" borderId="7" xfId="0" applyFont="1" applyFill="1" applyBorder="1" applyAlignment="1">
      <alignment horizontal="center" wrapText="1"/>
    </xf>
    <xf numFmtId="165" fontId="19" fillId="6" borderId="7" xfId="2" applyFont="1" applyFill="1" applyBorder="1" applyAlignment="1">
      <alignment horizontal="center" wrapText="1"/>
    </xf>
    <xf numFmtId="165" fontId="19" fillId="6" borderId="7" xfId="2" applyFont="1" applyFill="1" applyBorder="1" applyAlignment="1">
      <alignment wrapText="1"/>
    </xf>
    <xf numFmtId="165" fontId="19" fillId="6" borderId="7" xfId="2" applyFont="1" applyFill="1" applyBorder="1" applyAlignment="1">
      <alignment horizontal="right" wrapText="1"/>
    </xf>
    <xf numFmtId="0" fontId="19" fillId="6" borderId="7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center" vertical="top" wrapText="1"/>
    </xf>
    <xf numFmtId="165" fontId="19" fillId="6" borderId="7" xfId="2" applyFont="1" applyFill="1" applyBorder="1" applyAlignment="1">
      <alignment horizontal="center" vertical="top" wrapText="1"/>
    </xf>
    <xf numFmtId="165" fontId="19" fillId="6" borderId="7" xfId="2" applyFont="1" applyFill="1" applyBorder="1" applyAlignment="1">
      <alignment vertical="top" wrapText="1"/>
    </xf>
    <xf numFmtId="165" fontId="19" fillId="6" borderId="7" xfId="2" applyFont="1" applyFill="1" applyBorder="1" applyAlignment="1">
      <alignment horizontal="right" vertical="top" wrapText="1"/>
    </xf>
    <xf numFmtId="0" fontId="10" fillId="6" borderId="7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center" vertical="top" wrapText="1"/>
    </xf>
    <xf numFmtId="165" fontId="10" fillId="6" borderId="7" xfId="2" applyFont="1" applyFill="1" applyBorder="1" applyAlignment="1">
      <alignment horizontal="center" vertical="top" wrapText="1"/>
    </xf>
    <xf numFmtId="165" fontId="10" fillId="6" borderId="7" xfId="2" applyFont="1" applyFill="1" applyBorder="1" applyAlignment="1">
      <alignment vertical="top" wrapText="1"/>
    </xf>
    <xf numFmtId="172" fontId="10" fillId="6" borderId="7" xfId="2" applyNumberFormat="1" applyFont="1" applyFill="1" applyBorder="1" applyAlignment="1">
      <alignment horizontal="right" vertical="top" wrapText="1"/>
    </xf>
    <xf numFmtId="2" fontId="11" fillId="2" borderId="1" xfId="1" applyNumberFormat="1" applyFont="1" applyBorder="1" applyAlignment="1">
      <alignment horizontal="center" vertical="top" wrapText="1" shrinkToFit="1"/>
    </xf>
    <xf numFmtId="0" fontId="11" fillId="2" borderId="1" xfId="1" applyFont="1" applyBorder="1" applyAlignment="1">
      <alignment horizontal="left" vertical="top" wrapText="1"/>
    </xf>
    <xf numFmtId="0" fontId="19" fillId="2" borderId="1" xfId="1" applyFont="1" applyBorder="1" applyAlignment="1">
      <alignment horizontal="left" wrapText="1"/>
    </xf>
    <xf numFmtId="0" fontId="19" fillId="2" borderId="1" xfId="1" applyFont="1" applyBorder="1" applyAlignment="1">
      <alignment horizontal="center" wrapText="1"/>
    </xf>
    <xf numFmtId="0" fontId="19" fillId="2" borderId="1" xfId="1" applyFont="1" applyBorder="1" applyAlignment="1">
      <alignment horizontal="right" wrapText="1"/>
    </xf>
    <xf numFmtId="2" fontId="19" fillId="2" borderId="1" xfId="1" applyNumberFormat="1" applyFont="1" applyBorder="1" applyAlignment="1">
      <alignment horizontal="center" vertical="top" wrapText="1" shrinkToFit="1"/>
    </xf>
    <xf numFmtId="0" fontId="19" fillId="2" borderId="1" xfId="1" applyFont="1" applyBorder="1" applyAlignment="1">
      <alignment horizontal="left" vertical="top" wrapText="1"/>
    </xf>
    <xf numFmtId="4" fontId="19" fillId="2" borderId="1" xfId="1" applyNumberFormat="1" applyFont="1" applyBorder="1" applyAlignment="1">
      <alignment horizontal="center" vertical="top" wrapText="1" shrinkToFit="1"/>
    </xf>
    <xf numFmtId="0" fontId="19" fillId="2" borderId="1" xfId="1" applyFont="1" applyBorder="1" applyAlignment="1">
      <alignment horizontal="center" vertical="top" wrapText="1"/>
    </xf>
    <xf numFmtId="2" fontId="19" fillId="2" borderId="1" xfId="1" applyNumberFormat="1" applyFont="1" applyBorder="1" applyAlignment="1">
      <alignment horizontal="right" vertical="top" wrapText="1" shrinkToFit="1"/>
    </xf>
    <xf numFmtId="4" fontId="19" fillId="2" borderId="1" xfId="1" applyNumberFormat="1" applyFont="1" applyBorder="1" applyAlignment="1">
      <alignment horizontal="right" vertical="top" wrapText="1" shrinkToFit="1"/>
    </xf>
    <xf numFmtId="0" fontId="11" fillId="2" borderId="1" xfId="1" applyFont="1" applyBorder="1" applyAlignment="1">
      <alignment horizontal="left" wrapText="1"/>
    </xf>
    <xf numFmtId="0" fontId="11" fillId="2" borderId="1" xfId="1" applyFont="1" applyBorder="1" applyAlignment="1">
      <alignment horizontal="center" wrapText="1"/>
    </xf>
    <xf numFmtId="172" fontId="11" fillId="2" borderId="1" xfId="1" applyNumberFormat="1" applyFont="1" applyBorder="1" applyAlignment="1">
      <alignment horizontal="right" wrapText="1"/>
    </xf>
    <xf numFmtId="2" fontId="19" fillId="2" borderId="1" xfId="1" applyNumberFormat="1" applyFont="1" applyBorder="1" applyAlignment="1">
      <alignment horizontal="center" vertical="center" wrapText="1" shrinkToFit="1"/>
    </xf>
    <xf numFmtId="172" fontId="10" fillId="8" borderId="7" xfId="0" applyNumberFormat="1" applyFont="1" applyFill="1" applyBorder="1" applyAlignment="1">
      <alignment horizontal="center" wrapText="1"/>
    </xf>
    <xf numFmtId="4" fontId="22" fillId="8" borderId="7" xfId="0" applyNumberFormat="1" applyFont="1" applyFill="1" applyBorder="1" applyAlignment="1">
      <alignment horizontal="right" wrapText="1"/>
    </xf>
    <xf numFmtId="2" fontId="19" fillId="2" borderId="23" xfId="1" applyNumberFormat="1" applyFont="1" applyBorder="1" applyAlignment="1">
      <alignment horizontal="center" vertical="top" wrapText="1" shrinkToFit="1"/>
    </xf>
    <xf numFmtId="0" fontId="19" fillId="2" borderId="23" xfId="1" applyFont="1" applyBorder="1" applyAlignment="1">
      <alignment horizontal="left" vertical="top" wrapText="1"/>
    </xf>
    <xf numFmtId="0" fontId="19" fillId="2" borderId="23" xfId="1" applyFont="1" applyBorder="1" applyAlignment="1">
      <alignment horizontal="center" vertical="top" wrapText="1"/>
    </xf>
    <xf numFmtId="4" fontId="19" fillId="2" borderId="23" xfId="1" applyNumberFormat="1" applyFont="1" applyBorder="1" applyAlignment="1">
      <alignment horizontal="right" vertical="top" wrapText="1" shrinkToFit="1"/>
    </xf>
    <xf numFmtId="2" fontId="19" fillId="2" borderId="7" xfId="1" applyNumberFormat="1" applyFont="1" applyBorder="1" applyAlignment="1">
      <alignment horizontal="center" vertical="top" wrapText="1" shrinkToFit="1"/>
    </xf>
    <xf numFmtId="0" fontId="19" fillId="2" borderId="7" xfId="1" applyFont="1" applyBorder="1" applyAlignment="1">
      <alignment horizontal="left" vertical="top" wrapText="1"/>
    </xf>
    <xf numFmtId="0" fontId="19" fillId="2" borderId="7" xfId="1" applyFont="1" applyBorder="1" applyAlignment="1">
      <alignment horizontal="center" vertical="top" wrapText="1"/>
    </xf>
    <xf numFmtId="4" fontId="19" fillId="2" borderId="7" xfId="1" applyNumberFormat="1" applyFont="1" applyBorder="1" applyAlignment="1">
      <alignment horizontal="right" vertical="top" wrapText="1" shrinkToFit="1"/>
    </xf>
    <xf numFmtId="0" fontId="11" fillId="2" borderId="7" xfId="1" applyFont="1" applyBorder="1" applyAlignment="1">
      <alignment horizontal="left" vertical="top" wrapText="1"/>
    </xf>
    <xf numFmtId="2" fontId="11" fillId="2" borderId="7" xfId="1" applyNumberFormat="1" applyFont="1" applyBorder="1" applyAlignment="1">
      <alignment horizontal="center" vertical="top" wrapText="1" shrinkToFit="1"/>
    </xf>
    <xf numFmtId="0" fontId="11" fillId="2" borderId="7" xfId="1" applyFont="1" applyBorder="1" applyAlignment="1">
      <alignment horizontal="center" vertical="top" wrapText="1"/>
    </xf>
    <xf numFmtId="4" fontId="11" fillId="2" borderId="7" xfId="1" applyNumberFormat="1" applyFont="1" applyBorder="1" applyAlignment="1">
      <alignment horizontal="right" vertical="top" wrapText="1" shrinkToFit="1"/>
    </xf>
    <xf numFmtId="172" fontId="11" fillId="2" borderId="7" xfId="1" applyNumberFormat="1" applyFont="1" applyBorder="1" applyAlignment="1">
      <alignment horizontal="right" vertical="top" wrapText="1" shrinkToFit="1"/>
    </xf>
    <xf numFmtId="0" fontId="11" fillId="2" borderId="24" xfId="1" applyFont="1" applyBorder="1" applyAlignment="1">
      <alignment horizontal="center" vertical="top" wrapText="1"/>
    </xf>
    <xf numFmtId="0" fontId="11" fillId="2" borderId="24" xfId="1" applyFont="1" applyBorder="1" applyAlignment="1">
      <alignment horizontal="left" vertical="top" wrapText="1"/>
    </xf>
    <xf numFmtId="0" fontId="19" fillId="2" borderId="24" xfId="1" applyFont="1" applyBorder="1" applyAlignment="1">
      <alignment horizontal="left" wrapText="1"/>
    </xf>
    <xf numFmtId="0" fontId="19" fillId="2" borderId="24" xfId="1" applyFont="1" applyBorder="1" applyAlignment="1">
      <alignment horizontal="center" wrapText="1"/>
    </xf>
    <xf numFmtId="0" fontId="19" fillId="2" borderId="24" xfId="1" applyFont="1" applyBorder="1" applyAlignment="1">
      <alignment horizontal="right" wrapText="1"/>
    </xf>
    <xf numFmtId="2" fontId="11" fillId="2" borderId="24" xfId="1" applyNumberFormat="1" applyFont="1" applyBorder="1" applyAlignment="1">
      <alignment horizontal="center" vertical="top" wrapText="1" shrinkToFit="1"/>
    </xf>
    <xf numFmtId="2" fontId="19" fillId="2" borderId="24" xfId="1" applyNumberFormat="1" applyFont="1" applyBorder="1" applyAlignment="1">
      <alignment horizontal="center" vertical="top" wrapText="1" shrinkToFit="1"/>
    </xf>
    <xf numFmtId="0" fontId="19" fillId="2" borderId="24" xfId="1" applyFont="1" applyBorder="1" applyAlignment="1">
      <alignment horizontal="left" vertical="top" wrapText="1"/>
    </xf>
    <xf numFmtId="0" fontId="19" fillId="2" borderId="24" xfId="1" applyFont="1" applyBorder="1" applyAlignment="1">
      <alignment horizontal="center" vertical="top" wrapText="1"/>
    </xf>
    <xf numFmtId="4" fontId="19" fillId="2" borderId="24" xfId="1" applyNumberFormat="1" applyFont="1" applyBorder="1" applyAlignment="1">
      <alignment horizontal="right" vertical="top" wrapText="1" shrinkToFit="1"/>
    </xf>
    <xf numFmtId="0" fontId="11" fillId="2" borderId="24" xfId="1" applyFont="1" applyBorder="1" applyAlignment="1">
      <alignment horizontal="left" wrapText="1"/>
    </xf>
    <xf numFmtId="0" fontId="11" fillId="2" borderId="24" xfId="1" applyFont="1" applyBorder="1" applyAlignment="1">
      <alignment horizontal="center" wrapText="1"/>
    </xf>
    <xf numFmtId="172" fontId="11" fillId="2" borderId="24" xfId="1" applyNumberFormat="1" applyFont="1" applyBorder="1" applyAlignment="1">
      <alignment horizontal="right" wrapText="1"/>
    </xf>
    <xf numFmtId="4" fontId="19" fillId="2" borderId="24" xfId="1" applyNumberFormat="1" applyFont="1" applyBorder="1" applyAlignment="1">
      <alignment horizontal="center" vertical="top" wrapText="1" shrinkToFit="1"/>
    </xf>
    <xf numFmtId="2" fontId="19" fillId="2" borderId="24" xfId="1" applyNumberFormat="1" applyFont="1" applyBorder="1" applyAlignment="1">
      <alignment horizontal="right" vertical="top" wrapText="1" shrinkToFit="1"/>
    </xf>
    <xf numFmtId="2" fontId="19" fillId="2" borderId="25" xfId="1" applyNumberFormat="1" applyFont="1" applyBorder="1" applyAlignment="1">
      <alignment horizontal="center" vertical="top" wrapText="1" shrinkToFit="1"/>
    </xf>
    <xf numFmtId="0" fontId="19" fillId="2" borderId="25" xfId="1" applyFont="1" applyBorder="1" applyAlignment="1">
      <alignment horizontal="left" vertical="top" wrapText="1"/>
    </xf>
    <xf numFmtId="0" fontId="19" fillId="2" borderId="25" xfId="1" applyFont="1" applyBorder="1" applyAlignment="1">
      <alignment horizontal="center" vertical="top" wrapText="1"/>
    </xf>
    <xf numFmtId="4" fontId="19" fillId="2" borderId="25" xfId="1" applyNumberFormat="1" applyFont="1" applyBorder="1" applyAlignment="1">
      <alignment horizontal="right" vertical="top" wrapText="1" shrinkToFit="1"/>
    </xf>
    <xf numFmtId="0" fontId="11" fillId="2" borderId="26" xfId="1" applyFont="1" applyBorder="1" applyAlignment="1">
      <alignment horizontal="center" vertical="top" wrapText="1"/>
    </xf>
    <xf numFmtId="0" fontId="11" fillId="2" borderId="26" xfId="1" applyFont="1" applyBorder="1" applyAlignment="1">
      <alignment horizontal="left" vertical="top" wrapText="1"/>
    </xf>
    <xf numFmtId="0" fontId="19" fillId="2" borderId="26" xfId="1" applyFont="1" applyBorder="1" applyAlignment="1">
      <alignment horizontal="left" wrapText="1"/>
    </xf>
    <xf numFmtId="0" fontId="19" fillId="2" borderId="26" xfId="1" applyFont="1" applyBorder="1" applyAlignment="1">
      <alignment horizontal="center" wrapText="1"/>
    </xf>
    <xf numFmtId="0" fontId="19" fillId="2" borderId="26" xfId="1" applyFont="1" applyBorder="1" applyAlignment="1">
      <alignment horizontal="right" wrapText="1"/>
    </xf>
    <xf numFmtId="2" fontId="11" fillId="2" borderId="24" xfId="1" applyNumberFormat="1" applyFont="1" applyBorder="1" applyAlignment="1">
      <alignment horizontal="left" wrapText="1"/>
    </xf>
    <xf numFmtId="0" fontId="19" fillId="2" borderId="24" xfId="1" applyFont="1" applyBorder="1" applyAlignment="1">
      <alignment horizontal="left" vertical="center" wrapText="1"/>
    </xf>
    <xf numFmtId="4" fontId="19" fillId="2" borderId="24" xfId="1" applyNumberFormat="1" applyFont="1" applyBorder="1" applyAlignment="1">
      <alignment horizontal="right" vertical="center" wrapText="1" shrinkToFit="1"/>
    </xf>
    <xf numFmtId="2" fontId="19" fillId="2" borderId="24" xfId="1" applyNumberFormat="1" applyFont="1" applyBorder="1" applyAlignment="1">
      <alignment horizontal="center" vertical="center" wrapText="1" shrinkToFit="1"/>
    </xf>
    <xf numFmtId="0" fontId="11" fillId="2" borderId="26" xfId="1" applyFont="1" applyBorder="1" applyAlignment="1">
      <alignment horizontal="center" vertical="center" wrapText="1"/>
    </xf>
    <xf numFmtId="0" fontId="11" fillId="2" borderId="26" xfId="1" applyFont="1" applyBorder="1" applyAlignment="1">
      <alignment horizontal="left" wrapText="1"/>
    </xf>
    <xf numFmtId="0" fontId="19" fillId="2" borderId="26" xfId="1" applyFont="1" applyBorder="1" applyAlignment="1">
      <alignment horizontal="left" vertical="center" wrapText="1"/>
    </xf>
    <xf numFmtId="0" fontId="19" fillId="2" borderId="26" xfId="1" applyFont="1" applyBorder="1" applyAlignment="1">
      <alignment horizontal="center" vertical="center" wrapText="1"/>
    </xf>
    <xf numFmtId="0" fontId="19" fillId="2" borderId="26" xfId="1" applyFont="1" applyBorder="1" applyAlignment="1">
      <alignment horizontal="right" vertical="center" wrapText="1"/>
    </xf>
    <xf numFmtId="2" fontId="19" fillId="2" borderId="25" xfId="1" applyNumberFormat="1" applyFont="1" applyBorder="1" applyAlignment="1">
      <alignment horizontal="center" vertical="center" wrapText="1" shrinkToFit="1"/>
    </xf>
    <xf numFmtId="4" fontId="19" fillId="2" borderId="25" xfId="1" applyNumberFormat="1" applyFont="1" applyBorder="1" applyAlignment="1">
      <alignment horizontal="right" vertical="center" wrapText="1" shrinkToFit="1"/>
    </xf>
    <xf numFmtId="165" fontId="22" fillId="7" borderId="9" xfId="2" applyFont="1" applyFill="1" applyBorder="1" applyAlignment="1">
      <alignment wrapText="1"/>
    </xf>
    <xf numFmtId="2" fontId="22" fillId="7" borderId="9" xfId="0" applyNumberFormat="1" applyFont="1" applyFill="1" applyBorder="1" applyAlignment="1">
      <alignment horizontal="right" wrapText="1"/>
    </xf>
    <xf numFmtId="170" fontId="22" fillId="7" borderId="9" xfId="2" applyNumberFormat="1" applyFont="1" applyFill="1" applyBorder="1" applyAlignment="1">
      <alignment wrapText="1"/>
    </xf>
    <xf numFmtId="165" fontId="22" fillId="8" borderId="9" xfId="2" applyFont="1" applyFill="1" applyBorder="1" applyAlignment="1">
      <alignment wrapText="1"/>
    </xf>
    <xf numFmtId="2" fontId="19" fillId="2" borderId="7" xfId="1" applyNumberFormat="1" applyFont="1" applyBorder="1" applyAlignment="1">
      <alignment horizontal="center" vertical="center" wrapText="1" shrinkToFit="1"/>
    </xf>
    <xf numFmtId="4" fontId="11" fillId="2" borderId="7" xfId="1" applyNumberFormat="1" applyFont="1" applyBorder="1" applyAlignment="1">
      <alignment horizontal="right" vertical="center" wrapText="1" shrinkToFit="1"/>
    </xf>
    <xf numFmtId="172" fontId="11" fillId="2" borderId="7" xfId="1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172" fontId="11" fillId="0" borderId="0" xfId="0" applyNumberFormat="1" applyFont="1" applyAlignment="1">
      <alignment horizontal="right" wrapText="1"/>
    </xf>
    <xf numFmtId="172" fontId="10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165" fontId="3" fillId="0" borderId="0" xfId="0" applyNumberFormat="1" applyFont="1" applyAlignment="1">
      <alignment horizontal="right" wrapText="1"/>
    </xf>
    <xf numFmtId="0" fontId="0" fillId="3" borderId="7" xfId="0" applyFill="1" applyBorder="1" applyAlignment="1">
      <alignment horizontal="center" wrapText="1"/>
    </xf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 horizontal="right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right" wrapText="1"/>
    </xf>
    <xf numFmtId="0" fontId="18" fillId="7" borderId="7" xfId="0" applyFont="1" applyFill="1" applyBorder="1" applyAlignment="1">
      <alignment wrapText="1"/>
    </xf>
    <xf numFmtId="0" fontId="18" fillId="8" borderId="7" xfId="0" applyFont="1" applyFill="1" applyBorder="1" applyAlignment="1">
      <alignment wrapText="1"/>
    </xf>
    <xf numFmtId="4" fontId="11" fillId="12" borderId="7" xfId="0" applyNumberFormat="1" applyFont="1" applyFill="1" applyBorder="1" applyAlignment="1">
      <alignment horizontal="center" wrapText="1"/>
    </xf>
    <xf numFmtId="0" fontId="11" fillId="12" borderId="7" xfId="0" applyFont="1" applyFill="1" applyBorder="1" applyAlignment="1">
      <alignment wrapText="1"/>
    </xf>
    <xf numFmtId="0" fontId="19" fillId="12" borderId="7" xfId="0" applyFont="1" applyFill="1" applyBorder="1" applyAlignment="1">
      <alignment wrapText="1"/>
    </xf>
    <xf numFmtId="0" fontId="19" fillId="12" borderId="7" xfId="0" applyFont="1" applyFill="1" applyBorder="1" applyAlignment="1">
      <alignment horizontal="center" wrapText="1"/>
    </xf>
    <xf numFmtId="0" fontId="19" fillId="12" borderId="10" xfId="0" applyFont="1" applyFill="1" applyBorder="1" applyAlignment="1">
      <alignment horizontal="right" wrapText="1"/>
    </xf>
    <xf numFmtId="0" fontId="19" fillId="7" borderId="7" xfId="0" applyFont="1" applyFill="1" applyBorder="1" applyAlignment="1">
      <alignment wrapText="1"/>
    </xf>
    <xf numFmtId="0" fontId="19" fillId="8" borderId="7" xfId="0" applyFont="1" applyFill="1" applyBorder="1" applyAlignment="1">
      <alignment wrapText="1"/>
    </xf>
    <xf numFmtId="4" fontId="19" fillId="12" borderId="7" xfId="0" applyNumberFormat="1" applyFont="1" applyFill="1" applyBorder="1" applyAlignment="1">
      <alignment horizontal="center" wrapText="1"/>
    </xf>
    <xf numFmtId="0" fontId="22" fillId="12" borderId="7" xfId="0" applyFont="1" applyFill="1" applyBorder="1" applyAlignment="1">
      <alignment horizontal="left" wrapText="1"/>
    </xf>
    <xf numFmtId="2" fontId="22" fillId="12" borderId="7" xfId="0" applyNumberFormat="1" applyFont="1" applyFill="1" applyBorder="1" applyAlignment="1">
      <alignment horizontal="center" wrapText="1"/>
    </xf>
    <xf numFmtId="0" fontId="22" fillId="12" borderId="7" xfId="2" applyNumberFormat="1" applyFont="1" applyFill="1" applyBorder="1" applyAlignment="1">
      <alignment horizontal="center" wrapText="1"/>
    </xf>
    <xf numFmtId="4" fontId="22" fillId="12" borderId="7" xfId="2" applyNumberFormat="1" applyFont="1" applyFill="1" applyBorder="1" applyAlignment="1">
      <alignment wrapText="1"/>
    </xf>
    <xf numFmtId="4" fontId="22" fillId="12" borderId="10" xfId="2" applyNumberFormat="1" applyFont="1" applyFill="1" applyBorder="1" applyAlignment="1">
      <alignment horizontal="right" wrapText="1"/>
    </xf>
    <xf numFmtId="165" fontId="19" fillId="8" borderId="7" xfId="0" applyNumberFormat="1" applyFont="1" applyFill="1" applyBorder="1" applyAlignment="1">
      <alignment wrapText="1"/>
    </xf>
    <xf numFmtId="0" fontId="10" fillId="12" borderId="7" xfId="0" applyFont="1" applyFill="1" applyBorder="1" applyAlignment="1">
      <alignment horizontal="left" wrapText="1"/>
    </xf>
    <xf numFmtId="172" fontId="10" fillId="12" borderId="10" xfId="2" applyNumberFormat="1" applyFont="1" applyFill="1" applyBorder="1" applyAlignment="1">
      <alignment horizontal="right" wrapText="1"/>
    </xf>
    <xf numFmtId="4" fontId="22" fillId="12" borderId="7" xfId="2" applyNumberFormat="1" applyFont="1" applyFill="1" applyBorder="1" applyAlignment="1">
      <alignment horizontal="center" wrapText="1"/>
    </xf>
    <xf numFmtId="4" fontId="22" fillId="12" borderId="7" xfId="0" applyNumberFormat="1" applyFont="1" applyFill="1" applyBorder="1" applyAlignment="1">
      <alignment horizontal="center" wrapText="1"/>
    </xf>
    <xf numFmtId="4" fontId="38" fillId="12" borderId="7" xfId="0" applyNumberFormat="1" applyFont="1" applyFill="1" applyBorder="1" applyAlignment="1">
      <alignment horizontal="center" wrapText="1"/>
    </xf>
    <xf numFmtId="172" fontId="19" fillId="7" borderId="7" xfId="0" applyNumberFormat="1" applyFont="1" applyFill="1" applyBorder="1" applyAlignment="1">
      <alignment wrapText="1"/>
    </xf>
    <xf numFmtId="4" fontId="39" fillId="12" borderId="7" xfId="0" applyNumberFormat="1" applyFont="1" applyFill="1" applyBorder="1" applyAlignment="1">
      <alignment horizontal="center" wrapText="1"/>
    </xf>
    <xf numFmtId="4" fontId="19" fillId="7" borderId="7" xfId="0" applyNumberFormat="1" applyFont="1" applyFill="1" applyBorder="1" applyAlignment="1">
      <alignment wrapText="1"/>
    </xf>
    <xf numFmtId="4" fontId="38" fillId="12" borderId="7" xfId="0" applyNumberFormat="1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wrapText="1"/>
    </xf>
    <xf numFmtId="0" fontId="38" fillId="12" borderId="7" xfId="0" applyFont="1" applyFill="1" applyBorder="1" applyAlignment="1">
      <alignment horizontal="center" wrapText="1"/>
    </xf>
    <xf numFmtId="4" fontId="38" fillId="12" borderId="7" xfId="0" applyNumberFormat="1" applyFont="1" applyFill="1" applyBorder="1" applyAlignment="1">
      <alignment wrapText="1"/>
    </xf>
    <xf numFmtId="172" fontId="11" fillId="12" borderId="7" xfId="0" applyNumberFormat="1" applyFont="1" applyFill="1" applyBorder="1" applyAlignment="1">
      <alignment horizontal="right" wrapText="1"/>
    </xf>
    <xf numFmtId="4" fontId="38" fillId="12" borderId="10" xfId="0" applyNumberFormat="1" applyFont="1" applyFill="1" applyBorder="1" applyAlignment="1">
      <alignment horizontal="right" wrapText="1"/>
    </xf>
    <xf numFmtId="172" fontId="11" fillId="12" borderId="10" xfId="0" applyNumberFormat="1" applyFont="1" applyFill="1" applyBorder="1" applyAlignment="1">
      <alignment horizontal="right" wrapText="1"/>
    </xf>
    <xf numFmtId="4" fontId="19" fillId="12" borderId="7" xfId="0" applyNumberFormat="1" applyFont="1" applyFill="1" applyBorder="1" applyAlignment="1">
      <alignment wrapText="1"/>
    </xf>
    <xf numFmtId="4" fontId="19" fillId="12" borderId="10" xfId="0" applyNumberFormat="1" applyFont="1" applyFill="1" applyBorder="1" applyAlignment="1">
      <alignment horizontal="right" wrapText="1"/>
    </xf>
    <xf numFmtId="172" fontId="19" fillId="8" borderId="7" xfId="0" applyNumberFormat="1" applyFont="1" applyFill="1" applyBorder="1" applyAlignment="1">
      <alignment wrapText="1"/>
    </xf>
    <xf numFmtId="172" fontId="11" fillId="8" borderId="7" xfId="0" applyNumberFormat="1" applyFont="1" applyFill="1" applyBorder="1" applyAlignment="1">
      <alignment wrapText="1"/>
    </xf>
    <xf numFmtId="4" fontId="22" fillId="12" borderId="7" xfId="2" applyNumberFormat="1" applyFont="1" applyFill="1" applyBorder="1" applyAlignment="1">
      <alignment horizontal="right" wrapText="1"/>
    </xf>
    <xf numFmtId="4" fontId="19" fillId="12" borderId="0" xfId="0" applyNumberFormat="1" applyFont="1" applyFill="1" applyAlignment="1">
      <alignment horizontal="center" wrapText="1"/>
    </xf>
    <xf numFmtId="4" fontId="10" fillId="12" borderId="7" xfId="2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166" fontId="11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165" fontId="9" fillId="0" borderId="0" xfId="2" applyFont="1" applyBorder="1" applyAlignment="1">
      <alignment wrapText="1"/>
    </xf>
    <xf numFmtId="166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wrapText="1"/>
    </xf>
    <xf numFmtId="171" fontId="1" fillId="0" borderId="0" xfId="2" applyNumberFormat="1" applyBorder="1" applyAlignment="1">
      <alignment wrapText="1"/>
    </xf>
    <xf numFmtId="9" fontId="4" fillId="0" borderId="0" xfId="3" applyFont="1" applyBorder="1" applyAlignment="1">
      <alignment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174" fontId="4" fillId="0" borderId="0" xfId="0" applyNumberFormat="1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9" fontId="15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" fontId="4" fillId="0" borderId="0" xfId="2" applyNumberFormat="1" applyFont="1" applyBorder="1" applyAlignment="1">
      <alignment horizontal="right" wrapText="1"/>
    </xf>
    <xf numFmtId="0" fontId="15" fillId="0" borderId="0" xfId="0" applyFont="1" applyAlignment="1">
      <alignment wrapText="1"/>
    </xf>
    <xf numFmtId="17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72" fontId="6" fillId="0" borderId="0" xfId="2" applyNumberFormat="1" applyFont="1" applyBorder="1" applyAlignment="1">
      <alignment wrapText="1"/>
    </xf>
    <xf numFmtId="4" fontId="6" fillId="0" borderId="0" xfId="0" applyNumberFormat="1" applyFont="1" applyAlignment="1">
      <alignment horizontal="right" wrapText="1"/>
    </xf>
    <xf numFmtId="9" fontId="4" fillId="0" borderId="0" xfId="3" applyFont="1" applyBorder="1" applyAlignment="1">
      <alignment horizontal="center" wrapText="1"/>
    </xf>
    <xf numFmtId="4" fontId="8" fillId="0" borderId="0" xfId="2" applyNumberFormat="1" applyFont="1" applyBorder="1" applyAlignment="1">
      <alignment horizontal="center" wrapText="1"/>
    </xf>
    <xf numFmtId="173" fontId="15" fillId="0" borderId="0" xfId="2" applyNumberFormat="1" applyFont="1" applyBorder="1" applyAlignment="1">
      <alignment wrapText="1"/>
    </xf>
    <xf numFmtId="173" fontId="6" fillId="0" borderId="0" xfId="0" applyNumberFormat="1" applyFont="1" applyAlignment="1">
      <alignment wrapText="1"/>
    </xf>
    <xf numFmtId="173" fontId="6" fillId="0" borderId="0" xfId="0" applyNumberFormat="1" applyFont="1" applyAlignment="1">
      <alignment horizontal="center" wrapText="1"/>
    </xf>
    <xf numFmtId="173" fontId="15" fillId="0" borderId="0" xfId="0" applyNumberFormat="1" applyFont="1" applyAlignment="1">
      <alignment horizontal="center" wrapText="1"/>
    </xf>
    <xf numFmtId="165" fontId="4" fillId="8" borderId="7" xfId="2" applyFont="1" applyFill="1" applyBorder="1" applyAlignment="1">
      <alignment horizontal="center" wrapText="1"/>
    </xf>
    <xf numFmtId="0" fontId="7" fillId="6" borderId="7" xfId="0" applyFont="1" applyFill="1" applyBorder="1" applyAlignment="1">
      <alignment wrapText="1"/>
    </xf>
    <xf numFmtId="0" fontId="7" fillId="6" borderId="7" xfId="0" applyFont="1" applyFill="1" applyBorder="1" applyAlignment="1">
      <alignment horizontal="center" wrapText="1"/>
    </xf>
    <xf numFmtId="2" fontId="7" fillId="6" borderId="7" xfId="2" applyNumberFormat="1" applyFont="1" applyFill="1" applyBorder="1" applyAlignment="1">
      <alignment wrapText="1"/>
    </xf>
    <xf numFmtId="4" fontId="7" fillId="6" borderId="7" xfId="2" applyNumberFormat="1" applyFont="1" applyFill="1" applyBorder="1" applyAlignment="1">
      <alignment wrapText="1"/>
    </xf>
    <xf numFmtId="165" fontId="4" fillId="8" borderId="7" xfId="0" applyNumberFormat="1" applyFont="1" applyFill="1" applyBorder="1" applyAlignment="1">
      <alignment horizontal="center" wrapText="1"/>
    </xf>
    <xf numFmtId="0" fontId="7" fillId="6" borderId="7" xfId="0" applyFont="1" applyFill="1" applyBorder="1"/>
    <xf numFmtId="0" fontId="4" fillId="6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165" fontId="20" fillId="7" borderId="7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right" wrapText="1"/>
    </xf>
    <xf numFmtId="166" fontId="4" fillId="0" borderId="7" xfId="2" applyNumberFormat="1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/>
    </xf>
    <xf numFmtId="165" fontId="10" fillId="3" borderId="7" xfId="2" applyFont="1" applyFill="1" applyBorder="1" applyAlignment="1">
      <alignment horizontal="center"/>
    </xf>
    <xf numFmtId="165" fontId="10" fillId="4" borderId="7" xfId="2" applyFont="1" applyFill="1" applyBorder="1" applyAlignment="1">
      <alignment horizontal="center"/>
    </xf>
    <xf numFmtId="0" fontId="10" fillId="4" borderId="7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5" fontId="10" fillId="5" borderId="7" xfId="2" applyFont="1" applyFill="1" applyBorder="1" applyAlignment="1">
      <alignment horizontal="center"/>
    </xf>
    <xf numFmtId="166" fontId="4" fillId="6" borderId="7" xfId="0" applyNumberFormat="1" applyFont="1" applyFill="1" applyBorder="1" applyAlignment="1">
      <alignment vertical="center" wrapText="1"/>
    </xf>
    <xf numFmtId="4" fontId="4" fillId="8" borderId="7" xfId="0" applyNumberFormat="1" applyFont="1" applyFill="1" applyBorder="1" applyAlignment="1">
      <alignment wrapText="1"/>
    </xf>
    <xf numFmtId="4" fontId="10" fillId="0" borderId="0" xfId="5" applyNumberFormat="1" applyFont="1" applyAlignment="1">
      <alignment wrapText="1"/>
    </xf>
    <xf numFmtId="0" fontId="11" fillId="0" borderId="0" xfId="0" applyFont="1" applyAlignment="1">
      <alignment wrapText="1"/>
    </xf>
    <xf numFmtId="0" fontId="38" fillId="0" borderId="0" xfId="0" applyFont="1" applyAlignment="1">
      <alignment wrapText="1"/>
    </xf>
    <xf numFmtId="172" fontId="8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166" fontId="11" fillId="0" borderId="0" xfId="0" applyNumberFormat="1" applyFont="1"/>
    <xf numFmtId="0" fontId="2" fillId="0" borderId="0" xfId="0" applyFont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 wrapText="1"/>
    </xf>
    <xf numFmtId="166" fontId="4" fillId="0" borderId="0" xfId="2" applyNumberFormat="1" applyFont="1" applyBorder="1" applyAlignment="1">
      <alignment horizontal="center" wrapText="1"/>
    </xf>
    <xf numFmtId="166" fontId="14" fillId="0" borderId="0" xfId="2" applyNumberFormat="1" applyFont="1" applyBorder="1" applyAlignment="1">
      <alignment horizontal="center" wrapText="1"/>
    </xf>
    <xf numFmtId="166" fontId="15" fillId="0" borderId="0" xfId="2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 vertical="top" wrapText="1"/>
    </xf>
    <xf numFmtId="166" fontId="4" fillId="0" borderId="0" xfId="2" applyNumberFormat="1" applyFont="1" applyBorder="1" applyAlignment="1">
      <alignment wrapText="1"/>
    </xf>
    <xf numFmtId="166" fontId="6" fillId="0" borderId="0" xfId="0" applyNumberFormat="1" applyFont="1" applyAlignment="1">
      <alignment horizontal="left" vertical="top" wrapText="1"/>
    </xf>
    <xf numFmtId="166" fontId="6" fillId="0" borderId="0" xfId="2" applyNumberFormat="1" applyFont="1" applyBorder="1" applyAlignment="1">
      <alignment wrapText="1"/>
    </xf>
    <xf numFmtId="166" fontId="15" fillId="0" borderId="0" xfId="2" applyNumberFormat="1" applyFont="1" applyBorder="1" applyAlignment="1">
      <alignment horizontal="center" wrapText="1"/>
    </xf>
    <xf numFmtId="166" fontId="0" fillId="0" borderId="0" xfId="0" applyNumberFormat="1" applyAlignment="1">
      <alignment wrapText="1"/>
    </xf>
    <xf numFmtId="166" fontId="0" fillId="0" borderId="15" xfId="0" applyNumberFormat="1" applyBorder="1" applyAlignment="1">
      <alignment wrapText="1"/>
    </xf>
    <xf numFmtId="166" fontId="6" fillId="0" borderId="0" xfId="0" applyNumberFormat="1" applyFont="1" applyAlignment="1">
      <alignment horizontal="center" wrapText="1"/>
    </xf>
    <xf numFmtId="166" fontId="6" fillId="0" borderId="15" xfId="2" applyNumberFormat="1" applyFont="1" applyBorder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15" xfId="0" applyNumberFormat="1" applyFont="1" applyBorder="1" applyAlignment="1">
      <alignment wrapText="1"/>
    </xf>
    <xf numFmtId="0" fontId="4" fillId="3" borderId="27" xfId="0" applyFont="1" applyFill="1" applyBorder="1" applyAlignment="1">
      <alignment horizontal="center" vertical="top"/>
    </xf>
    <xf numFmtId="0" fontId="4" fillId="3" borderId="28" xfId="0" applyFont="1" applyFill="1" applyBorder="1" applyAlignment="1">
      <alignment horizontal="center"/>
    </xf>
    <xf numFmtId="165" fontId="4" fillId="3" borderId="28" xfId="2" applyFont="1" applyFill="1" applyBorder="1" applyAlignment="1">
      <alignment horizontal="center"/>
    </xf>
    <xf numFmtId="165" fontId="4" fillId="3" borderId="29" xfId="2" applyFont="1" applyFill="1" applyBorder="1" applyAlignment="1">
      <alignment horizontal="center"/>
    </xf>
    <xf numFmtId="165" fontId="4" fillId="4" borderId="29" xfId="2" applyFont="1" applyFill="1" applyBorder="1" applyAlignment="1">
      <alignment horizontal="center"/>
    </xf>
    <xf numFmtId="165" fontId="4" fillId="4" borderId="28" xfId="2" applyFont="1" applyFill="1" applyBorder="1" applyAlignment="1">
      <alignment horizontal="center"/>
    </xf>
    <xf numFmtId="0" fontId="4" fillId="4" borderId="28" xfId="0" applyFont="1" applyFill="1" applyBorder="1" applyAlignment="1">
      <alignment horizontal="left" vertical="top"/>
    </xf>
    <xf numFmtId="0" fontId="4" fillId="4" borderId="28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165" fontId="4" fillId="5" borderId="28" xfId="2" applyFont="1" applyFill="1" applyBorder="1" applyAlignment="1">
      <alignment horizontal="center"/>
    </xf>
    <xf numFmtId="165" fontId="4" fillId="5" borderId="30" xfId="2" applyFont="1" applyFill="1" applyBorder="1" applyAlignment="1">
      <alignment horizontal="center"/>
    </xf>
    <xf numFmtId="167" fontId="4" fillId="6" borderId="31" xfId="0" applyNumberFormat="1" applyFont="1" applyFill="1" applyBorder="1" applyAlignment="1">
      <alignment horizontal="center" vertical="top"/>
    </xf>
    <xf numFmtId="165" fontId="6" fillId="6" borderId="7" xfId="2" applyFont="1" applyFill="1" applyBorder="1" applyAlignment="1"/>
    <xf numFmtId="165" fontId="6" fillId="7" borderId="7" xfId="2" applyFont="1" applyFill="1" applyBorder="1" applyAlignment="1"/>
    <xf numFmtId="165" fontId="6" fillId="8" borderId="7" xfId="2" applyFont="1" applyFill="1" applyBorder="1" applyAlignment="1"/>
    <xf numFmtId="165" fontId="6" fillId="8" borderId="32" xfId="2" applyFont="1" applyFill="1" applyBorder="1" applyAlignment="1"/>
    <xf numFmtId="2" fontId="6" fillId="6" borderId="31" xfId="0" applyNumberFormat="1" applyFont="1" applyFill="1" applyBorder="1" applyAlignment="1">
      <alignment horizontal="center" vertical="top"/>
    </xf>
    <xf numFmtId="165" fontId="6" fillId="6" borderId="10" xfId="2" applyFont="1" applyFill="1" applyBorder="1" applyAlignment="1"/>
    <xf numFmtId="165" fontId="9" fillId="7" borderId="7" xfId="2" applyFont="1" applyFill="1" applyBorder="1" applyAlignment="1"/>
    <xf numFmtId="165" fontId="7" fillId="7" borderId="7" xfId="2" applyFont="1" applyFill="1" applyBorder="1" applyAlignment="1"/>
    <xf numFmtId="165" fontId="6" fillId="8" borderId="7" xfId="2" applyFont="1" applyFill="1" applyBorder="1" applyAlignment="1">
      <alignment horizontal="center"/>
    </xf>
    <xf numFmtId="165" fontId="6" fillId="8" borderId="9" xfId="2" applyFont="1" applyFill="1" applyBorder="1" applyAlignment="1"/>
    <xf numFmtId="2" fontId="6" fillId="6" borderId="33" xfId="0" applyNumberFormat="1" applyFont="1" applyFill="1" applyBorder="1" applyAlignment="1">
      <alignment horizontal="center" vertical="center"/>
    </xf>
    <xf numFmtId="0" fontId="4" fillId="6" borderId="34" xfId="0" applyFont="1" applyFill="1" applyBorder="1"/>
    <xf numFmtId="0" fontId="6" fillId="6" borderId="34" xfId="0" applyFont="1" applyFill="1" applyBorder="1" applyAlignment="1">
      <alignment horizontal="center"/>
    </xf>
    <xf numFmtId="165" fontId="6" fillId="6" borderId="34" xfId="2" applyFont="1" applyFill="1" applyBorder="1" applyAlignment="1"/>
    <xf numFmtId="165" fontId="4" fillId="6" borderId="10" xfId="2" applyFont="1" applyFill="1" applyBorder="1" applyAlignment="1"/>
    <xf numFmtId="165" fontId="6" fillId="7" borderId="7" xfId="0" applyNumberFormat="1" applyFont="1" applyFill="1" applyBorder="1" applyAlignment="1">
      <alignment horizontal="right"/>
    </xf>
    <xf numFmtId="165" fontId="9" fillId="7" borderId="34" xfId="2" applyFont="1" applyFill="1" applyBorder="1" applyAlignment="1"/>
    <xf numFmtId="165" fontId="9" fillId="7" borderId="7" xfId="0" applyNumberFormat="1" applyFont="1" applyFill="1" applyBorder="1" applyAlignment="1">
      <alignment horizontal="right"/>
    </xf>
    <xf numFmtId="170" fontId="9" fillId="7" borderId="7" xfId="2" applyNumberFormat="1" applyFont="1" applyFill="1" applyBorder="1" applyAlignment="1"/>
    <xf numFmtId="165" fontId="4" fillId="8" borderId="7" xfId="2" applyFont="1" applyFill="1" applyBorder="1" applyAlignment="1">
      <alignment horizontal="center"/>
    </xf>
    <xf numFmtId="165" fontId="8" fillId="8" borderId="9" xfId="2" applyFont="1" applyFill="1" applyBorder="1" applyAlignment="1"/>
    <xf numFmtId="165" fontId="4" fillId="8" borderId="32" xfId="2" applyFont="1" applyFill="1" applyBorder="1" applyAlignment="1"/>
    <xf numFmtId="0" fontId="6" fillId="6" borderId="9" xfId="0" applyFont="1" applyFill="1" applyBorder="1"/>
    <xf numFmtId="0" fontId="6" fillId="6" borderId="9" xfId="0" applyFont="1" applyFill="1" applyBorder="1" applyAlignment="1">
      <alignment horizontal="center"/>
    </xf>
    <xf numFmtId="165" fontId="6" fillId="6" borderId="9" xfId="2" applyFont="1" applyFill="1" applyBorder="1" applyAlignment="1"/>
    <xf numFmtId="165" fontId="6" fillId="7" borderId="9" xfId="2" applyFont="1" applyFill="1" applyBorder="1" applyAlignment="1"/>
    <xf numFmtId="2" fontId="6" fillId="6" borderId="35" xfId="0" applyNumberFormat="1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left"/>
    </xf>
    <xf numFmtId="165" fontId="6" fillId="7" borderId="34" xfId="2" applyFont="1" applyFill="1" applyBorder="1" applyAlignment="1"/>
    <xf numFmtId="2" fontId="9" fillId="7" borderId="20" xfId="0" applyNumberFormat="1" applyFont="1" applyFill="1" applyBorder="1" applyAlignment="1">
      <alignment horizontal="right"/>
    </xf>
    <xf numFmtId="170" fontId="9" fillId="7" borderId="34" xfId="2" applyNumberFormat="1" applyFont="1" applyFill="1" applyBorder="1" applyAlignment="1"/>
    <xf numFmtId="165" fontId="4" fillId="8" borderId="7" xfId="0" applyNumberFormat="1" applyFont="1" applyFill="1" applyBorder="1" applyAlignment="1">
      <alignment horizontal="center"/>
    </xf>
    <xf numFmtId="165" fontId="4" fillId="8" borderId="9" xfId="2" applyFont="1" applyFill="1" applyBorder="1" applyAlignment="1"/>
    <xf numFmtId="2" fontId="6" fillId="6" borderId="31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vertical="center"/>
    </xf>
    <xf numFmtId="165" fontId="7" fillId="6" borderId="7" xfId="2" applyFont="1" applyFill="1" applyBorder="1" applyAlignment="1"/>
    <xf numFmtId="165" fontId="7" fillId="6" borderId="10" xfId="2" applyFont="1" applyFill="1" applyBorder="1" applyAlignment="1"/>
    <xf numFmtId="0" fontId="7" fillId="6" borderId="7" xfId="0" applyFont="1" applyFill="1" applyBorder="1" applyAlignment="1">
      <alignment horizontal="left" vertical="center"/>
    </xf>
    <xf numFmtId="165" fontId="4" fillId="6" borderId="7" xfId="2" applyFont="1" applyFill="1" applyBorder="1" applyAlignment="1"/>
    <xf numFmtId="2" fontId="4" fillId="6" borderId="31" xfId="0" applyNumberFormat="1" applyFont="1" applyFill="1" applyBorder="1" applyAlignment="1">
      <alignment horizontal="center" vertical="top"/>
    </xf>
    <xf numFmtId="2" fontId="6" fillId="7" borderId="20" xfId="0" applyNumberFormat="1" applyFont="1" applyFill="1" applyBorder="1" applyAlignment="1">
      <alignment horizontal="right"/>
    </xf>
    <xf numFmtId="170" fontId="6" fillId="7" borderId="34" xfId="2" applyNumberFormat="1" applyFont="1" applyFill="1" applyBorder="1" applyAlignment="1"/>
    <xf numFmtId="2" fontId="4" fillId="6" borderId="31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17" fillId="6" borderId="7" xfId="0" applyFont="1" applyFill="1" applyBorder="1" applyAlignment="1">
      <alignment vertical="center"/>
    </xf>
    <xf numFmtId="0" fontId="17" fillId="6" borderId="7" xfId="0" applyFont="1" applyFill="1" applyBorder="1" applyAlignment="1">
      <alignment horizontal="center"/>
    </xf>
    <xf numFmtId="165" fontId="17" fillId="6" borderId="7" xfId="2" applyFont="1" applyFill="1" applyBorder="1" applyAlignment="1"/>
    <xf numFmtId="171" fontId="7" fillId="6" borderId="10" xfId="2" applyNumberFormat="1" applyFont="1" applyFill="1" applyBorder="1" applyAlignment="1"/>
    <xf numFmtId="181" fontId="6" fillId="7" borderId="34" xfId="2" applyNumberFormat="1" applyFont="1" applyFill="1" applyBorder="1" applyAlignment="1"/>
    <xf numFmtId="4" fontId="22" fillId="8" borderId="7" xfId="0" applyNumberFormat="1" applyFont="1" applyFill="1" applyBorder="1" applyAlignment="1">
      <alignment horizontal="center"/>
    </xf>
    <xf numFmtId="4" fontId="4" fillId="8" borderId="7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/>
    </xf>
    <xf numFmtId="165" fontId="4" fillId="6" borderId="9" xfId="2" applyFont="1" applyFill="1" applyBorder="1" applyAlignment="1"/>
    <xf numFmtId="165" fontId="4" fillId="6" borderId="2" xfId="2" applyFont="1" applyFill="1" applyBorder="1" applyAlignment="1"/>
    <xf numFmtId="2" fontId="6" fillId="7" borderId="5" xfId="0" applyNumberFormat="1" applyFont="1" applyFill="1" applyBorder="1" applyAlignment="1">
      <alignment horizontal="right"/>
    </xf>
    <xf numFmtId="170" fontId="6" fillId="7" borderId="19" xfId="2" applyNumberFormat="1" applyFont="1" applyFill="1" applyBorder="1" applyAlignment="1"/>
    <xf numFmtId="0" fontId="6" fillId="8" borderId="9" xfId="0" applyFont="1" applyFill="1" applyBorder="1" applyAlignment="1">
      <alignment horizontal="center"/>
    </xf>
    <xf numFmtId="165" fontId="6" fillId="8" borderId="36" xfId="2" applyFont="1" applyFill="1" applyBorder="1" applyAlignment="1"/>
    <xf numFmtId="2" fontId="22" fillId="6" borderId="7" xfId="0" applyNumberFormat="1" applyFont="1" applyFill="1" applyBorder="1" applyAlignment="1">
      <alignment horizontal="center" vertical="top"/>
    </xf>
    <xf numFmtId="0" fontId="10" fillId="6" borderId="7" xfId="0" applyFont="1" applyFill="1" applyBorder="1" applyAlignment="1">
      <alignment vertical="center"/>
    </xf>
    <xf numFmtId="0" fontId="22" fillId="6" borderId="7" xfId="0" applyFont="1" applyFill="1" applyBorder="1" applyAlignment="1">
      <alignment horizontal="center"/>
    </xf>
    <xf numFmtId="165" fontId="22" fillId="6" borderId="7" xfId="2" applyFont="1" applyFill="1" applyBorder="1" applyAlignment="1"/>
    <xf numFmtId="165" fontId="22" fillId="7" borderId="7" xfId="2" applyFont="1" applyFill="1" applyBorder="1" applyAlignment="1"/>
    <xf numFmtId="2" fontId="22" fillId="7" borderId="7" xfId="0" applyNumberFormat="1" applyFont="1" applyFill="1" applyBorder="1" applyAlignment="1">
      <alignment horizontal="right"/>
    </xf>
    <xf numFmtId="170" fontId="22" fillId="7" borderId="7" xfId="2" applyNumberFormat="1" applyFont="1" applyFill="1" applyBorder="1" applyAlignment="1"/>
    <xf numFmtId="0" fontId="22" fillId="8" borderId="7" xfId="0" applyFont="1" applyFill="1" applyBorder="1" applyAlignment="1">
      <alignment horizontal="center"/>
    </xf>
    <xf numFmtId="165" fontId="22" fillId="8" borderId="7" xfId="2" applyFont="1" applyFill="1" applyBorder="1" applyAlignment="1"/>
    <xf numFmtId="0" fontId="22" fillId="6" borderId="7" xfId="0" applyFont="1" applyFill="1" applyBorder="1" applyAlignment="1">
      <alignment horizontal="left"/>
    </xf>
    <xf numFmtId="10" fontId="22" fillId="7" borderId="7" xfId="2" applyNumberFormat="1" applyFont="1" applyFill="1" applyBorder="1" applyAlignment="1"/>
    <xf numFmtId="0" fontId="22" fillId="6" borderId="7" xfId="0" applyFont="1" applyFill="1" applyBorder="1" applyAlignment="1">
      <alignment vertical="center"/>
    </xf>
    <xf numFmtId="0" fontId="22" fillId="6" borderId="7" xfId="0" applyFont="1" applyFill="1" applyBorder="1" applyAlignment="1">
      <alignment horizontal="center" vertical="center"/>
    </xf>
    <xf numFmtId="165" fontId="22" fillId="6" borderId="7" xfId="2" applyFont="1" applyFill="1" applyBorder="1" applyAlignment="1">
      <alignment vertical="center"/>
    </xf>
    <xf numFmtId="165" fontId="10" fillId="6" borderId="7" xfId="2" applyFont="1" applyFill="1" applyBorder="1" applyAlignment="1"/>
    <xf numFmtId="4" fontId="10" fillId="8" borderId="7" xfId="0" applyNumberFormat="1" applyFont="1" applyFill="1" applyBorder="1" applyAlignment="1">
      <alignment horizontal="center"/>
    </xf>
    <xf numFmtId="165" fontId="10" fillId="8" borderId="7" xfId="2" applyFont="1" applyFill="1" applyBorder="1" applyAlignment="1"/>
    <xf numFmtId="165" fontId="22" fillId="7" borderId="7" xfId="2" applyFont="1" applyFill="1" applyBorder="1" applyAlignment="1">
      <alignment vertical="center"/>
    </xf>
    <xf numFmtId="2" fontId="22" fillId="7" borderId="7" xfId="0" applyNumberFormat="1" applyFont="1" applyFill="1" applyBorder="1" applyAlignment="1">
      <alignment horizontal="right" vertical="center"/>
    </xf>
    <xf numFmtId="10" fontId="22" fillId="7" borderId="7" xfId="2" applyNumberFormat="1" applyFont="1" applyFill="1" applyBorder="1" applyAlignment="1">
      <alignment vertical="center"/>
    </xf>
    <xf numFmtId="165" fontId="22" fillId="8" borderId="7" xfId="2" applyFont="1" applyFill="1" applyBorder="1" applyAlignment="1">
      <alignment vertical="center"/>
    </xf>
    <xf numFmtId="165" fontId="10" fillId="8" borderId="7" xfId="2" applyFont="1" applyFill="1" applyBorder="1" applyAlignment="1">
      <alignment vertical="center"/>
    </xf>
    <xf numFmtId="165" fontId="22" fillId="6" borderId="7" xfId="2" applyFont="1" applyFill="1" applyBorder="1" applyAlignment="1">
      <alignment horizontal="center" vertical="center"/>
    </xf>
    <xf numFmtId="0" fontId="22" fillId="6" borderId="7" xfId="0" applyFont="1" applyFill="1" applyBorder="1"/>
    <xf numFmtId="2" fontId="10" fillId="6" borderId="7" xfId="0" applyNumberFormat="1" applyFont="1" applyFill="1" applyBorder="1" applyAlignment="1">
      <alignment horizontal="center" vertical="top"/>
    </xf>
    <xf numFmtId="0" fontId="10" fillId="6" borderId="7" xfId="0" applyFont="1" applyFill="1" applyBorder="1"/>
    <xf numFmtId="171" fontId="10" fillId="8" borderId="7" xfId="2" applyNumberFormat="1" applyFont="1" applyFill="1" applyBorder="1" applyAlignment="1"/>
    <xf numFmtId="0" fontId="22" fillId="7" borderId="7" xfId="0" applyFont="1" applyFill="1" applyBorder="1" applyAlignment="1">
      <alignment horizontal="right"/>
    </xf>
    <xf numFmtId="165" fontId="10" fillId="6" borderId="7" xfId="2" applyFont="1" applyFill="1" applyBorder="1" applyAlignment="1">
      <alignment vertical="center"/>
    </xf>
    <xf numFmtId="165" fontId="22" fillId="7" borderId="7" xfId="2" applyFont="1" applyFill="1" applyBorder="1" applyAlignment="1">
      <alignment horizontal="right"/>
    </xf>
    <xf numFmtId="4" fontId="10" fillId="8" borderId="7" xfId="2" applyNumberFormat="1" applyFont="1" applyFill="1" applyBorder="1" applyAlignment="1"/>
    <xf numFmtId="4" fontId="10" fillId="8" borderId="7" xfId="2" applyNumberFormat="1" applyFont="1" applyFill="1" applyBorder="1" applyAlignment="1">
      <alignment vertical="center"/>
    </xf>
    <xf numFmtId="0" fontId="6" fillId="7" borderId="7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center" vertical="center"/>
    </xf>
    <xf numFmtId="165" fontId="6" fillId="6" borderId="10" xfId="2" applyFont="1" applyFill="1" applyBorder="1" applyAlignment="1">
      <alignment vertical="center"/>
    </xf>
    <xf numFmtId="165" fontId="6" fillId="7" borderId="7" xfId="2" applyFont="1" applyFill="1" applyBorder="1" applyAlignment="1">
      <alignment vertical="center"/>
    </xf>
    <xf numFmtId="2" fontId="22" fillId="6" borderId="8" xfId="0" applyNumberFormat="1" applyFont="1" applyFill="1" applyBorder="1" applyAlignment="1">
      <alignment horizontal="center" vertical="top"/>
    </xf>
    <xf numFmtId="0" fontId="6" fillId="6" borderId="19" xfId="0" applyFont="1" applyFill="1" applyBorder="1" applyAlignment="1">
      <alignment vertical="center"/>
    </xf>
    <xf numFmtId="165" fontId="6" fillId="6" borderId="7" xfId="2" applyFont="1" applyFill="1" applyBorder="1" applyAlignment="1">
      <alignment horizontal="right"/>
    </xf>
    <xf numFmtId="0" fontId="22" fillId="7" borderId="7" xfId="0" applyFont="1" applyFill="1" applyBorder="1" applyAlignment="1">
      <alignment horizontal="center"/>
    </xf>
    <xf numFmtId="4" fontId="22" fillId="6" borderId="7" xfId="0" applyNumberFormat="1" applyFont="1" applyFill="1" applyBorder="1" applyAlignment="1">
      <alignment horizontal="center"/>
    </xf>
    <xf numFmtId="4" fontId="10" fillId="6" borderId="7" xfId="0" applyNumberFormat="1" applyFont="1" applyFill="1" applyBorder="1" applyAlignment="1">
      <alignment horizontal="right" vertical="top"/>
    </xf>
    <xf numFmtId="172" fontId="4" fillId="0" borderId="9" xfId="2" applyNumberFormat="1" applyFont="1" applyFill="1" applyBorder="1" applyAlignment="1">
      <alignment vertical="center" wrapText="1"/>
    </xf>
    <xf numFmtId="172" fontId="4" fillId="0" borderId="0" xfId="2" applyNumberFormat="1" applyFont="1" applyFill="1" applyBorder="1" applyAlignment="1">
      <alignment vertical="center" wrapText="1"/>
    </xf>
    <xf numFmtId="172" fontId="9" fillId="0" borderId="0" xfId="0" applyNumberFormat="1" applyFont="1"/>
    <xf numFmtId="0" fontId="10" fillId="0" borderId="0" xfId="0" applyFont="1" applyAlignment="1">
      <alignment horizontal="center"/>
    </xf>
    <xf numFmtId="172" fontId="15" fillId="0" borderId="0" xfId="2" applyNumberFormat="1" applyFont="1" applyBorder="1" applyAlignment="1">
      <alignment horizontal="center"/>
    </xf>
    <xf numFmtId="165" fontId="6" fillId="0" borderId="0" xfId="2" applyFont="1" applyBorder="1" applyAlignment="1"/>
    <xf numFmtId="172" fontId="14" fillId="0" borderId="0" xfId="2" applyNumberFormat="1" applyFont="1" applyBorder="1" applyAlignment="1">
      <alignment horizontal="center"/>
    </xf>
    <xf numFmtId="172" fontId="8" fillId="0" borderId="0" xfId="2" applyNumberFormat="1" applyFont="1" applyBorder="1" applyAlignment="1">
      <alignment horizontal="center"/>
    </xf>
    <xf numFmtId="171" fontId="15" fillId="0" borderId="0" xfId="0" applyNumberFormat="1" applyFont="1"/>
    <xf numFmtId="171" fontId="6" fillId="0" borderId="0" xfId="2" applyNumberFormat="1" applyFont="1" applyBorder="1" applyAlignment="1"/>
    <xf numFmtId="172" fontId="4" fillId="0" borderId="0" xfId="2" applyNumberFormat="1" applyFont="1" applyBorder="1" applyAlignment="1"/>
    <xf numFmtId="0" fontId="4" fillId="6" borderId="7" xfId="0" applyFont="1" applyFill="1" applyBorder="1" applyAlignment="1">
      <alignment horizontal="left"/>
    </xf>
    <xf numFmtId="0" fontId="11" fillId="6" borderId="7" xfId="0" applyFont="1" applyFill="1" applyBorder="1" applyAlignment="1">
      <alignment wrapText="1"/>
    </xf>
    <xf numFmtId="4" fontId="6" fillId="7" borderId="7" xfId="2" applyNumberFormat="1" applyFont="1" applyFill="1" applyBorder="1" applyAlignment="1">
      <alignment vertical="center"/>
    </xf>
    <xf numFmtId="4" fontId="9" fillId="7" borderId="7" xfId="0" applyNumberFormat="1" applyFont="1" applyFill="1" applyBorder="1"/>
    <xf numFmtId="0" fontId="9" fillId="7" borderId="7" xfId="0" applyFont="1" applyFill="1" applyBorder="1"/>
    <xf numFmtId="39" fontId="41" fillId="6" borderId="7" xfId="6" applyNumberFormat="1" applyFont="1" applyFill="1" applyBorder="1" applyAlignment="1">
      <alignment horizontal="right"/>
    </xf>
    <xf numFmtId="39" fontId="41" fillId="6" borderId="7" xfId="6" applyNumberFormat="1" applyFont="1" applyFill="1" applyBorder="1" applyAlignment="1">
      <alignment horizontal="center"/>
    </xf>
    <xf numFmtId="39" fontId="41" fillId="6" borderId="7" xfId="6" applyNumberFormat="1" applyFont="1" applyFill="1" applyBorder="1" applyAlignment="1">
      <alignment horizontal="center" vertical="center"/>
    </xf>
    <xf numFmtId="0" fontId="0" fillId="7" borderId="0" xfId="0" applyFill="1"/>
    <xf numFmtId="4" fontId="6" fillId="6" borderId="7" xfId="6" applyNumberFormat="1" applyFont="1" applyFill="1" applyBorder="1" applyAlignment="1">
      <alignment horizontal="right" vertical="center"/>
    </xf>
    <xf numFmtId="165" fontId="41" fillId="6" borderId="7" xfId="7" applyFont="1" applyFill="1" applyBorder="1" applyAlignment="1">
      <alignment horizontal="center" vertical="top"/>
    </xf>
    <xf numFmtId="0" fontId="41" fillId="6" borderId="7" xfId="6" applyFont="1" applyFill="1" applyBorder="1" applyAlignment="1">
      <alignment horizontal="center" vertical="top"/>
    </xf>
    <xf numFmtId="4" fontId="41" fillId="6" borderId="7" xfId="7" applyNumberFormat="1" applyFont="1" applyFill="1" applyBorder="1" applyAlignment="1">
      <alignment horizontal="left" vertical="top"/>
    </xf>
    <xf numFmtId="4" fontId="4" fillId="6" borderId="7" xfId="7" applyNumberFormat="1" applyFont="1" applyFill="1" applyBorder="1" applyAlignment="1">
      <alignment horizontal="right" vertical="center"/>
    </xf>
    <xf numFmtId="0" fontId="41" fillId="7" borderId="7" xfId="6" applyFont="1" applyFill="1" applyBorder="1" applyAlignment="1">
      <alignment horizontal="center" vertical="top"/>
    </xf>
    <xf numFmtId="165" fontId="6" fillId="6" borderId="7" xfId="7" applyFont="1" applyFill="1" applyBorder="1" applyAlignment="1">
      <alignment horizontal="center" vertical="center"/>
    </xf>
    <xf numFmtId="165" fontId="6" fillId="7" borderId="7" xfId="7" applyFont="1" applyFill="1" applyBorder="1" applyAlignment="1">
      <alignment horizontal="center" vertical="center"/>
    </xf>
    <xf numFmtId="0" fontId="42" fillId="6" borderId="0" xfId="6" applyFont="1" applyFill="1"/>
    <xf numFmtId="0" fontId="42" fillId="7" borderId="0" xfId="6" applyFont="1" applyFill="1"/>
    <xf numFmtId="0" fontId="9" fillId="6" borderId="7" xfId="0" applyFont="1" applyFill="1" applyBorder="1" applyAlignment="1">
      <alignment wrapText="1"/>
    </xf>
    <xf numFmtId="0" fontId="9" fillId="6" borderId="7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/>
    </xf>
    <xf numFmtId="39" fontId="9" fillId="6" borderId="7" xfId="8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72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4" fillId="0" borderId="0" xfId="2" applyNumberFormat="1" applyFont="1" applyBorder="1" applyAlignment="1">
      <alignment horizontal="center"/>
    </xf>
    <xf numFmtId="173" fontId="4" fillId="0" borderId="0" xfId="2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4" fontId="15" fillId="0" borderId="0" xfId="2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172" fontId="4" fillId="0" borderId="0" xfId="2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8" fillId="9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4" fontId="8" fillId="0" borderId="0" xfId="2" applyNumberFormat="1" applyFont="1" applyBorder="1" applyAlignment="1">
      <alignment horizontal="center"/>
    </xf>
    <xf numFmtId="4" fontId="4" fillId="9" borderId="0" xfId="0" applyNumberFormat="1" applyFont="1" applyFill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1" fontId="4" fillId="0" borderId="0" xfId="0" applyNumberFormat="1" applyFont="1" applyAlignment="1">
      <alignment horizontal="center" wrapText="1"/>
    </xf>
    <xf numFmtId="172" fontId="4" fillId="0" borderId="0" xfId="2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center" wrapText="1"/>
    </xf>
    <xf numFmtId="172" fontId="4" fillId="0" borderId="15" xfId="0" applyNumberFormat="1" applyFont="1" applyBorder="1" applyAlignment="1">
      <alignment horizontal="center" wrapText="1"/>
    </xf>
    <xf numFmtId="171" fontId="4" fillId="0" borderId="0" xfId="2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wrapText="1"/>
    </xf>
    <xf numFmtId="171" fontId="14" fillId="0" borderId="0" xfId="2" applyNumberFormat="1" applyFont="1" applyBorder="1" applyAlignment="1">
      <alignment horizontal="center" wrapText="1"/>
    </xf>
    <xf numFmtId="172" fontId="14" fillId="0" borderId="0" xfId="0" applyNumberFormat="1" applyFont="1" applyAlignment="1">
      <alignment horizontal="center" wrapText="1"/>
    </xf>
    <xf numFmtId="171" fontId="15" fillId="0" borderId="0" xfId="0" applyNumberFormat="1" applyFont="1" applyAlignment="1">
      <alignment horizontal="center" vertical="top" wrapText="1"/>
    </xf>
    <xf numFmtId="172" fontId="15" fillId="0" borderId="0" xfId="2" applyNumberFormat="1" applyFont="1" applyBorder="1" applyAlignment="1">
      <alignment horizontal="center" wrapText="1"/>
    </xf>
    <xf numFmtId="172" fontId="15" fillId="0" borderId="15" xfId="2" applyNumberFormat="1" applyFont="1" applyBorder="1" applyAlignment="1">
      <alignment horizontal="center" wrapText="1"/>
    </xf>
    <xf numFmtId="171" fontId="15" fillId="0" borderId="0" xfId="0" applyNumberFormat="1" applyFont="1" applyAlignment="1">
      <alignment horizontal="center" vertical="center" wrapText="1"/>
    </xf>
    <xf numFmtId="172" fontId="15" fillId="0" borderId="0" xfId="0" applyNumberFormat="1" applyFont="1" applyAlignment="1">
      <alignment horizontal="center" wrapText="1"/>
    </xf>
    <xf numFmtId="4" fontId="15" fillId="0" borderId="0" xfId="2" applyNumberFormat="1" applyFont="1" applyBorder="1" applyAlignment="1">
      <alignment horizontal="center" vertical="center" wrapText="1"/>
    </xf>
    <xf numFmtId="0" fontId="15" fillId="0" borderId="15" xfId="2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wrapText="1"/>
    </xf>
    <xf numFmtId="171" fontId="15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center" wrapText="1"/>
    </xf>
    <xf numFmtId="171" fontId="24" fillId="0" borderId="0" xfId="0" applyNumberFormat="1" applyFont="1" applyAlignment="1">
      <alignment horizontal="center" wrapText="1"/>
    </xf>
    <xf numFmtId="171" fontId="24" fillId="0" borderId="15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0" fontId="25" fillId="3" borderId="7" xfId="0" applyFont="1" applyFill="1" applyBorder="1" applyAlignment="1">
      <alignment horizontal="center" wrapText="1"/>
    </xf>
    <xf numFmtId="0" fontId="25" fillId="4" borderId="7" xfId="0" applyFont="1" applyFill="1" applyBorder="1" applyAlignment="1">
      <alignment horizontal="center" wrapText="1"/>
    </xf>
    <xf numFmtId="0" fontId="25" fillId="5" borderId="7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2" fontId="4" fillId="0" borderId="0" xfId="4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0" borderId="15" xfId="4" applyNumberFormat="1" applyFont="1" applyBorder="1" applyAlignment="1">
      <alignment horizontal="center"/>
    </xf>
    <xf numFmtId="171" fontId="4" fillId="0" borderId="0" xfId="4" applyNumberFormat="1" applyFont="1" applyBorder="1" applyAlignment="1">
      <alignment horizontal="center"/>
    </xf>
    <xf numFmtId="171" fontId="14" fillId="0" borderId="0" xfId="4" applyNumberFormat="1" applyFont="1" applyBorder="1" applyAlignment="1">
      <alignment horizontal="center"/>
    </xf>
    <xf numFmtId="172" fontId="14" fillId="0" borderId="0" xfId="0" applyNumberFormat="1" applyFont="1" applyAlignment="1">
      <alignment horizontal="center"/>
    </xf>
    <xf numFmtId="172" fontId="14" fillId="0" borderId="0" xfId="4" applyNumberFormat="1" applyFont="1" applyBorder="1" applyAlignment="1">
      <alignment horizontal="center"/>
    </xf>
    <xf numFmtId="172" fontId="14" fillId="0" borderId="15" xfId="4" applyNumberFormat="1" applyFont="1" applyBorder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15" fillId="0" borderId="0" xfId="0" applyNumberFormat="1" applyFont="1" applyAlignment="1">
      <alignment horizontal="center"/>
    </xf>
    <xf numFmtId="171" fontId="24" fillId="0" borderId="0" xfId="0" applyNumberFormat="1" applyFont="1" applyAlignment="1">
      <alignment horizontal="center"/>
    </xf>
    <xf numFmtId="171" fontId="24" fillId="0" borderId="15" xfId="0" applyNumberFormat="1" applyFont="1" applyBorder="1" applyAlignment="1">
      <alignment horizontal="center"/>
    </xf>
    <xf numFmtId="171" fontId="8" fillId="0" borderId="0" xfId="4" applyNumberFormat="1" applyFont="1" applyBorder="1" applyAlignment="1">
      <alignment horizontal="center"/>
    </xf>
    <xf numFmtId="172" fontId="8" fillId="9" borderId="0" xfId="0" applyNumberFormat="1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2" fontId="4" fillId="11" borderId="0" xfId="0" applyNumberFormat="1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25" fillId="3" borderId="7" xfId="0" applyFont="1" applyFill="1" applyBorder="1" applyAlignment="1">
      <alignment horizontal="left"/>
    </xf>
    <xf numFmtId="0" fontId="25" fillId="4" borderId="7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72" fontId="13" fillId="0" borderId="0" xfId="0" applyNumberFormat="1" applyFont="1" applyAlignment="1">
      <alignment horizontal="center"/>
    </xf>
    <xf numFmtId="172" fontId="13" fillId="0" borderId="0" xfId="4" applyNumberFormat="1" applyFont="1" applyBorder="1" applyAlignment="1">
      <alignment horizontal="center"/>
    </xf>
    <xf numFmtId="172" fontId="13" fillId="0" borderId="6" xfId="0" applyNumberFormat="1" applyFont="1" applyBorder="1" applyAlignment="1">
      <alignment horizontal="center"/>
    </xf>
    <xf numFmtId="172" fontId="13" fillId="0" borderId="6" xfId="4" applyNumberFormat="1" applyFont="1" applyBorder="1" applyAlignment="1">
      <alignment horizontal="center"/>
    </xf>
    <xf numFmtId="172" fontId="34" fillId="0" borderId="0" xfId="0" applyNumberFormat="1" applyFont="1" applyAlignment="1">
      <alignment horizontal="center"/>
    </xf>
    <xf numFmtId="172" fontId="34" fillId="0" borderId="0" xfId="4" applyNumberFormat="1" applyFont="1" applyBorder="1" applyAlignment="1">
      <alignment horizontal="center"/>
    </xf>
    <xf numFmtId="172" fontId="34" fillId="0" borderId="6" xfId="4" applyNumberFormat="1" applyFont="1" applyBorder="1" applyAlignment="1">
      <alignment horizontal="center"/>
    </xf>
    <xf numFmtId="172" fontId="13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171" fontId="13" fillId="0" borderId="0" xfId="0" applyNumberFormat="1" applyFont="1" applyAlignment="1">
      <alignment horizontal="center"/>
    </xf>
    <xf numFmtId="171" fontId="13" fillId="0" borderId="6" xfId="0" applyNumberFormat="1" applyFont="1" applyBorder="1" applyAlignment="1">
      <alignment horizontal="center"/>
    </xf>
    <xf numFmtId="172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 horizontal="center"/>
    </xf>
    <xf numFmtId="171" fontId="36" fillId="0" borderId="0" xfId="0" applyNumberFormat="1" applyFont="1" applyAlignment="1">
      <alignment horizontal="center"/>
    </xf>
    <xf numFmtId="171" fontId="36" fillId="0" borderId="6" xfId="0" applyNumberFormat="1" applyFont="1" applyBorder="1" applyAlignment="1">
      <alignment horizontal="center"/>
    </xf>
    <xf numFmtId="172" fontId="31" fillId="0" borderId="0" xfId="4" applyNumberFormat="1" applyFont="1" applyBorder="1" applyAlignment="1">
      <alignment horizontal="center"/>
    </xf>
    <xf numFmtId="172" fontId="31" fillId="9" borderId="0" xfId="0" applyNumberFormat="1" applyFont="1" applyFill="1" applyAlignment="1">
      <alignment horizontal="center"/>
    </xf>
    <xf numFmtId="172" fontId="31" fillId="0" borderId="0" xfId="0" applyNumberFormat="1" applyFont="1" applyAlignment="1">
      <alignment horizontal="center"/>
    </xf>
    <xf numFmtId="172" fontId="31" fillId="0" borderId="6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4" fontId="4" fillId="0" borderId="0" xfId="2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15" fillId="0" borderId="0" xfId="2" applyNumberFormat="1" applyFont="1" applyBorder="1" applyAlignment="1">
      <alignment horizontal="center" wrapText="1"/>
    </xf>
    <xf numFmtId="175" fontId="8" fillId="0" borderId="0" xfId="2" applyNumberFormat="1" applyFont="1" applyBorder="1" applyAlignment="1">
      <alignment horizontal="center" wrapText="1"/>
    </xf>
    <xf numFmtId="175" fontId="17" fillId="13" borderId="0" xfId="0" applyNumberFormat="1" applyFont="1" applyFill="1" applyAlignment="1">
      <alignment horizontal="center" wrapText="1"/>
    </xf>
    <xf numFmtId="175" fontId="4" fillId="0" borderId="0" xfId="2" applyNumberFormat="1" applyFont="1" applyBorder="1" applyAlignment="1">
      <alignment horizontal="center" wrapText="1"/>
    </xf>
    <xf numFmtId="175" fontId="15" fillId="0" borderId="0" xfId="0" applyNumberFormat="1" applyFont="1" applyAlignment="1">
      <alignment horizontal="center" wrapText="1"/>
    </xf>
    <xf numFmtId="175" fontId="15" fillId="0" borderId="0" xfId="2" applyNumberFormat="1" applyFont="1" applyBorder="1" applyAlignment="1">
      <alignment horizontal="center" wrapText="1"/>
    </xf>
    <xf numFmtId="172" fontId="8" fillId="0" borderId="0" xfId="0" applyNumberFormat="1" applyFont="1" applyAlignment="1">
      <alignment horizontal="center" wrapText="1"/>
    </xf>
    <xf numFmtId="175" fontId="4" fillId="9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166" fontId="4" fillId="0" borderId="0" xfId="2" applyNumberFormat="1" applyFont="1" applyBorder="1" applyAlignment="1">
      <alignment horizontal="center" wrapText="1"/>
    </xf>
    <xf numFmtId="166" fontId="15" fillId="0" borderId="0" xfId="0" applyNumberFormat="1" applyFont="1" applyAlignment="1">
      <alignment horizontal="center" vertical="center" wrapText="1"/>
    </xf>
    <xf numFmtId="166" fontId="15" fillId="0" borderId="0" xfId="2" applyNumberFormat="1" applyFont="1" applyBorder="1" applyAlignment="1">
      <alignment horizontal="center" vertical="center" wrapText="1"/>
    </xf>
    <xf numFmtId="166" fontId="15" fillId="0" borderId="15" xfId="2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top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wrapText="1"/>
    </xf>
    <xf numFmtId="166" fontId="15" fillId="0" borderId="0" xfId="0" applyNumberFormat="1" applyFont="1" applyAlignment="1">
      <alignment horizontal="center" wrapText="1"/>
    </xf>
    <xf numFmtId="166" fontId="24" fillId="0" borderId="0" xfId="0" applyNumberFormat="1" applyFont="1" applyAlignment="1">
      <alignment horizontal="center" wrapText="1"/>
    </xf>
    <xf numFmtId="166" fontId="24" fillId="0" borderId="15" xfId="0" applyNumberFormat="1" applyFont="1" applyBorder="1" applyAlignment="1">
      <alignment horizontal="center" wrapText="1"/>
    </xf>
    <xf numFmtId="166" fontId="8" fillId="0" borderId="0" xfId="2" applyNumberFormat="1" applyFont="1" applyBorder="1" applyAlignment="1">
      <alignment horizontal="center" wrapText="1"/>
    </xf>
    <xf numFmtId="166" fontId="8" fillId="9" borderId="0" xfId="0" applyNumberFormat="1" applyFont="1" applyFill="1" applyAlignment="1">
      <alignment horizontal="center" wrapText="1"/>
    </xf>
    <xf numFmtId="171" fontId="4" fillId="0" borderId="0" xfId="2" applyNumberFormat="1" applyFont="1" applyBorder="1" applyAlignment="1">
      <alignment horizontal="center"/>
    </xf>
    <xf numFmtId="0" fontId="40" fillId="3" borderId="7" xfId="0" applyFont="1" applyFill="1" applyBorder="1" applyAlignment="1">
      <alignment horizontal="center"/>
    </xf>
    <xf numFmtId="0" fontId="40" fillId="4" borderId="7" xfId="0" applyFont="1" applyFill="1" applyBorder="1" applyAlignment="1">
      <alignment horizontal="center"/>
    </xf>
    <xf numFmtId="0" fontId="40" fillId="5" borderId="7" xfId="0" applyFont="1" applyFill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 vertical="top"/>
    </xf>
    <xf numFmtId="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10" fillId="0" borderId="0" xfId="2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</cellXfs>
  <cellStyles count="9">
    <cellStyle name="20% - Énfasis1" xfId="1" builtinId="30"/>
    <cellStyle name="Millares 10" xfId="4" xr:uid="{DCDD717D-05C3-4820-BD8E-FB0290962DE1}"/>
    <cellStyle name="Millares 2" xfId="2" xr:uid="{1E28EC88-D9EA-4A33-A566-425D3015E354}"/>
    <cellStyle name="Millares 2 3" xfId="7" xr:uid="{8F3A83E1-3750-4268-87BD-7FD1880C52EC}"/>
    <cellStyle name="Moneda 2" xfId="8" xr:uid="{C45E7545-9BC1-4A7A-93B0-D09BC42984CE}"/>
    <cellStyle name="Normal" xfId="0" builtinId="0"/>
    <cellStyle name="Normal 2 3" xfId="5" xr:uid="{A86DE0AE-D40F-422F-BB25-48B1718547DC}"/>
    <cellStyle name="Normal 2 6" xfId="6" xr:uid="{97AE8C4F-A0C7-4B96-BC81-6E4938B1480C}"/>
    <cellStyle name="Porcentaje 2" xfId="3" xr:uid="{B3C62BE9-B653-4469-BC72-EDA9D821B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85726</xdr:rowOff>
    </xdr:from>
    <xdr:to>
      <xdr:col>1</xdr:col>
      <xdr:colOff>559443</xdr:colOff>
      <xdr:row>7</xdr:row>
      <xdr:rowOff>66676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7FE98B0-B1B3-4756-9942-748561A2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66726"/>
          <a:ext cx="12547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84</xdr:row>
      <xdr:rowOff>57150</xdr:rowOff>
    </xdr:from>
    <xdr:to>
      <xdr:col>1</xdr:col>
      <xdr:colOff>623876</xdr:colOff>
      <xdr:row>89</xdr:row>
      <xdr:rowOff>76199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DA5EDF-A45F-4E49-B8D3-EBA2AD55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4784050"/>
          <a:ext cx="1252525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28575</xdr:rowOff>
    </xdr:from>
    <xdr:to>
      <xdr:col>1</xdr:col>
      <xdr:colOff>553485</xdr:colOff>
      <xdr:row>9</xdr:row>
      <xdr:rowOff>123824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F922B62-B8A0-4243-9006-929D3DC2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90575"/>
          <a:ext cx="1172610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158</xdr:row>
      <xdr:rowOff>87400</xdr:rowOff>
    </xdr:from>
    <xdr:to>
      <xdr:col>1</xdr:col>
      <xdr:colOff>571731</xdr:colOff>
      <xdr:row>164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3377B7-AE6F-4C47-A720-F7E9C1B9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167725"/>
          <a:ext cx="1124181" cy="10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1</xdr:col>
      <xdr:colOff>553485</xdr:colOff>
      <xdr:row>8</xdr:row>
      <xdr:rowOff>123824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EE6253A-F4BA-4D99-AC23-D1AD227E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00075"/>
          <a:ext cx="1201185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148</xdr:row>
      <xdr:rowOff>87400</xdr:rowOff>
    </xdr:from>
    <xdr:to>
      <xdr:col>1</xdr:col>
      <xdr:colOff>571731</xdr:colOff>
      <xdr:row>154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D1E31F-D259-4F54-9275-A0062AB0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720175"/>
          <a:ext cx="1152756" cy="10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184151</xdr:colOff>
      <xdr:row>1</xdr:row>
      <xdr:rowOff>3175</xdr:rowOff>
    </xdr:from>
    <xdr:to>
      <xdr:col>1</xdr:col>
      <xdr:colOff>550241</xdr:colOff>
      <xdr:row>5</xdr:row>
      <xdr:rowOff>158750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D387D24-5745-479F-BE1A-D3FE381F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1" y="193675"/>
          <a:ext cx="1061415" cy="9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19051</xdr:colOff>
      <xdr:row>164</xdr:row>
      <xdr:rowOff>28575</xdr:rowOff>
    </xdr:from>
    <xdr:to>
      <xdr:col>1</xdr:col>
      <xdr:colOff>1066801</xdr:colOff>
      <xdr:row>168</xdr:row>
      <xdr:rowOff>112568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6FD3DE7-FB17-4630-B3D9-4DAFC623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6" y="51530250"/>
          <a:ext cx="1047750" cy="969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85726</xdr:rowOff>
    </xdr:from>
    <xdr:to>
      <xdr:col>1</xdr:col>
      <xdr:colOff>559443</xdr:colOff>
      <xdr:row>6</xdr:row>
      <xdr:rowOff>66676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C86BC51-AEB9-4540-A206-47F6A7AE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6226"/>
          <a:ext cx="12547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110</xdr:row>
      <xdr:rowOff>66675</xdr:rowOff>
    </xdr:from>
    <xdr:to>
      <xdr:col>1</xdr:col>
      <xdr:colOff>1504950</xdr:colOff>
      <xdr:row>116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303572-7CAF-4C1C-9D5D-725562C9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184225"/>
          <a:ext cx="1257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85726</xdr:rowOff>
    </xdr:from>
    <xdr:to>
      <xdr:col>1</xdr:col>
      <xdr:colOff>559443</xdr:colOff>
      <xdr:row>7</xdr:row>
      <xdr:rowOff>66676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6403483-20BD-422A-9390-FC2D51FF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66726"/>
          <a:ext cx="108331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47</xdr:row>
      <xdr:rowOff>9525</xdr:rowOff>
    </xdr:from>
    <xdr:to>
      <xdr:col>1</xdr:col>
      <xdr:colOff>1452550</xdr:colOff>
      <xdr:row>52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0A3B1A-97FF-44BF-A8C8-A23C5EA7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372725"/>
          <a:ext cx="1233475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85726</xdr:rowOff>
    </xdr:from>
    <xdr:to>
      <xdr:col>1</xdr:col>
      <xdr:colOff>559443</xdr:colOff>
      <xdr:row>5</xdr:row>
      <xdr:rowOff>66676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6F6C7BA-8ED8-4948-A106-06C479D8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6226"/>
          <a:ext cx="104521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170</xdr:row>
      <xdr:rowOff>66675</xdr:rowOff>
    </xdr:from>
    <xdr:to>
      <xdr:col>1</xdr:col>
      <xdr:colOff>1562100</xdr:colOff>
      <xdr:row>176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B90650-47E2-48AF-B3B1-E900EFEB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6852225"/>
          <a:ext cx="1314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366</xdr:row>
      <xdr:rowOff>71915</xdr:rowOff>
    </xdr:from>
    <xdr:to>
      <xdr:col>1</xdr:col>
      <xdr:colOff>676274</xdr:colOff>
      <xdr:row>371</xdr:row>
      <xdr:rowOff>5838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265B09-E9C9-4D47-9592-AD6C9BE7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109615"/>
          <a:ext cx="1333499" cy="1838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</xdr:row>
      <xdr:rowOff>71916</xdr:rowOff>
    </xdr:from>
    <xdr:to>
      <xdr:col>1</xdr:col>
      <xdr:colOff>714375</xdr:colOff>
      <xdr:row>6</xdr:row>
      <xdr:rowOff>37088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E7A3BD-EB3B-468F-AC6C-068EF809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2416"/>
          <a:ext cx="1333500" cy="91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88900</xdr:rowOff>
    </xdr:from>
    <xdr:to>
      <xdr:col>1</xdr:col>
      <xdr:colOff>657224</xdr:colOff>
      <xdr:row>8</xdr:row>
      <xdr:rowOff>60325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D4CD189-EB98-48C4-94A6-21FB71D5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660400"/>
          <a:ext cx="1143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323851</xdr:colOff>
      <xdr:row>163</xdr:row>
      <xdr:rowOff>171450</xdr:rowOff>
    </xdr:from>
    <xdr:to>
      <xdr:col>1</xdr:col>
      <xdr:colOff>1444525</xdr:colOff>
      <xdr:row>167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8367F3-BA6C-41F4-9949-C6CC83D6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6" y="45005625"/>
          <a:ext cx="1120674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114300</xdr:rowOff>
    </xdr:from>
    <xdr:to>
      <xdr:col>1</xdr:col>
      <xdr:colOff>1085850</xdr:colOff>
      <xdr:row>7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EAE5B93-AC77-40BC-80BB-01C31346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04800"/>
          <a:ext cx="14763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714374</xdr:colOff>
      <xdr:row>278</xdr:row>
      <xdr:rowOff>79375</xdr:rowOff>
    </xdr:from>
    <xdr:to>
      <xdr:col>1</xdr:col>
      <xdr:colOff>2000250</xdr:colOff>
      <xdr:row>283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CB896C-DC80-449E-A6F2-87BFB767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4" y="53162200"/>
          <a:ext cx="1285876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Fiscalizacion\Valiosa\Cubicaciones%20obras%202022\Edificio%20Coraapplata\CUBICACION%20EDIFICIO%203%20contratista.xlsx" TargetMode="External"/><Relationship Id="rId1" Type="http://schemas.openxmlformats.org/officeDocument/2006/relationships/externalLinkPath" Target="/Fiscalizacion/Valiosa/Cubicaciones%20obras%202022/Edificio%20Coraapplata/CUBICACION%20EDIFICIO%203%20contrat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B 3"/>
      <sheetName val="Hoja2"/>
      <sheetName val="Hoja1"/>
    </sheetNames>
    <sheetDataSet>
      <sheetData sheetId="0">
        <row r="31">
          <cell r="C31">
            <v>191.71</v>
          </cell>
        </row>
      </sheetData>
      <sheetData sheetId="1">
        <row r="7">
          <cell r="H7">
            <v>4182.2950949999995</v>
          </cell>
          <cell r="L7">
            <v>1373.4342764999999</v>
          </cell>
        </row>
        <row r="15">
          <cell r="M15">
            <v>1596.32</v>
          </cell>
        </row>
        <row r="16">
          <cell r="G16">
            <v>6598.6636234999996</v>
          </cell>
        </row>
        <row r="20">
          <cell r="M20">
            <v>55.187925</v>
          </cell>
        </row>
        <row r="72">
          <cell r="D72">
            <v>293.01875000000001</v>
          </cell>
        </row>
        <row r="79">
          <cell r="D79">
            <v>8.4</v>
          </cell>
        </row>
        <row r="80">
          <cell r="D80">
            <v>9.870000000000001</v>
          </cell>
        </row>
        <row r="84">
          <cell r="D84">
            <v>3.39</v>
          </cell>
        </row>
        <row r="87">
          <cell r="D87">
            <v>0.91499999999999992</v>
          </cell>
        </row>
        <row r="89">
          <cell r="D89">
            <v>2.2250000000000001</v>
          </cell>
        </row>
        <row r="117">
          <cell r="H117">
            <v>5305.65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B953-3ECC-41CA-821B-7053098588C5}">
  <sheetPr codeName="Hoja1"/>
  <dimension ref="A2:M121"/>
  <sheetViews>
    <sheetView topLeftCell="A144" workbookViewId="0">
      <selection activeCell="B76" sqref="B76"/>
    </sheetView>
  </sheetViews>
  <sheetFormatPr baseColWidth="10" defaultRowHeight="15"/>
  <cols>
    <col min="2" max="2" width="33" customWidth="1"/>
    <col min="5" max="5" width="11.5703125" bestFit="1" customWidth="1"/>
    <col min="6" max="6" width="16.5703125" customWidth="1"/>
    <col min="13" max="13" width="19.42578125" customWidth="1"/>
  </cols>
  <sheetData>
    <row r="2" spans="1:13">
      <c r="A2" s="1075" t="s">
        <v>0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7"/>
    </row>
    <row r="3" spans="1:13">
      <c r="A3" s="1078" t="s">
        <v>1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1080"/>
    </row>
    <row r="4" spans="1:13">
      <c r="A4" s="1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2</v>
      </c>
    </row>
    <row r="5" spans="1:13">
      <c r="A5" s="4"/>
      <c r="B5" s="5" t="s">
        <v>3</v>
      </c>
      <c r="C5" s="1081" t="s">
        <v>4</v>
      </c>
      <c r="D5" s="1081"/>
      <c r="E5" s="1081"/>
      <c r="F5" s="1081"/>
      <c r="G5" s="1081"/>
      <c r="H5" s="1081"/>
      <c r="I5" s="1081"/>
      <c r="J5" s="7"/>
      <c r="K5" s="7"/>
      <c r="L5" s="5" t="s">
        <v>5</v>
      </c>
      <c r="M5" s="8" t="s">
        <v>6</v>
      </c>
    </row>
    <row r="6" spans="1:13">
      <c r="A6" s="4"/>
      <c r="B6" s="5" t="s">
        <v>7</v>
      </c>
      <c r="C6" s="9">
        <v>1</v>
      </c>
      <c r="D6" s="7"/>
      <c r="E6" s="10"/>
      <c r="F6" s="10"/>
      <c r="G6" s="10"/>
      <c r="H6" s="7"/>
      <c r="I6" s="7"/>
      <c r="J6" s="7"/>
      <c r="K6" s="7"/>
      <c r="L6" s="5" t="s">
        <v>8</v>
      </c>
      <c r="M6" s="8">
        <v>2645359.2999999998</v>
      </c>
    </row>
    <row r="7" spans="1:13">
      <c r="A7" s="4"/>
      <c r="B7" s="5" t="s">
        <v>9</v>
      </c>
      <c r="C7" s="10" t="s">
        <v>10</v>
      </c>
      <c r="D7" s="10"/>
      <c r="E7" s="10"/>
      <c r="F7" s="10" t="s">
        <v>11</v>
      </c>
      <c r="G7" s="11"/>
      <c r="H7" s="7"/>
      <c r="I7" s="7"/>
      <c r="J7" s="7"/>
      <c r="K7" s="7"/>
      <c r="L7" s="5" t="s">
        <v>12</v>
      </c>
      <c r="M7" s="12" t="s">
        <v>13</v>
      </c>
    </row>
    <row r="8" spans="1:13">
      <c r="A8" s="4"/>
      <c r="B8" s="5" t="s">
        <v>14</v>
      </c>
      <c r="C8" s="10" t="s">
        <v>15</v>
      </c>
      <c r="D8" s="10"/>
      <c r="E8" s="10"/>
      <c r="F8" s="10"/>
      <c r="H8" s="7"/>
      <c r="I8" s="7"/>
      <c r="J8" s="7"/>
      <c r="K8" s="7"/>
      <c r="L8" s="7"/>
      <c r="M8" s="13"/>
    </row>
    <row r="9" spans="1:13">
      <c r="A9" s="1082" t="s">
        <v>16</v>
      </c>
      <c r="B9" s="1082"/>
      <c r="C9" s="1082"/>
      <c r="D9" s="1082"/>
      <c r="E9" s="1082"/>
      <c r="F9" s="1082"/>
      <c r="G9" s="1083" t="s">
        <v>17</v>
      </c>
      <c r="H9" s="1083"/>
      <c r="I9" s="1083"/>
      <c r="J9" s="1083"/>
      <c r="K9" s="1084" t="s">
        <v>18</v>
      </c>
      <c r="L9" s="1084"/>
      <c r="M9" s="1084"/>
    </row>
    <row r="10" spans="1:13">
      <c r="A10" s="14" t="s">
        <v>19</v>
      </c>
      <c r="B10" s="15" t="s">
        <v>20</v>
      </c>
      <c r="C10" s="15" t="s">
        <v>21</v>
      </c>
      <c r="D10" s="15" t="s">
        <v>22</v>
      </c>
      <c r="E10" s="16" t="s">
        <v>23</v>
      </c>
      <c r="F10" s="16" t="s">
        <v>24</v>
      </c>
      <c r="G10" s="17" t="s">
        <v>25</v>
      </c>
      <c r="H10" s="17" t="s">
        <v>26</v>
      </c>
      <c r="I10" s="18" t="s">
        <v>27</v>
      </c>
      <c r="J10" s="19" t="s">
        <v>28</v>
      </c>
      <c r="K10" s="20" t="s">
        <v>25</v>
      </c>
      <c r="L10" s="21" t="s">
        <v>26</v>
      </c>
      <c r="M10" s="21" t="s">
        <v>27</v>
      </c>
    </row>
    <row r="11" spans="1:13">
      <c r="A11" s="22" t="s">
        <v>29</v>
      </c>
      <c r="B11" s="23" t="s">
        <v>30</v>
      </c>
      <c r="C11" s="24"/>
      <c r="D11" s="25"/>
      <c r="E11" s="26"/>
      <c r="F11" s="26"/>
      <c r="G11" s="27"/>
      <c r="H11" s="27"/>
      <c r="I11" s="28"/>
      <c r="J11" s="29"/>
      <c r="K11" s="30"/>
      <c r="L11" s="31"/>
      <c r="M11" s="31"/>
    </row>
    <row r="12" spans="1:13">
      <c r="A12" s="32">
        <v>1</v>
      </c>
      <c r="B12" s="33" t="s">
        <v>31</v>
      </c>
      <c r="C12" s="34" t="s">
        <v>32</v>
      </c>
      <c r="D12" s="35">
        <v>3</v>
      </c>
      <c r="E12" s="36">
        <v>400000</v>
      </c>
      <c r="F12" s="37">
        <f>D12*E12</f>
        <v>1200000</v>
      </c>
      <c r="G12" s="27"/>
      <c r="H12" s="27"/>
      <c r="I12" s="38"/>
      <c r="J12" s="39"/>
      <c r="K12" s="40"/>
      <c r="L12" s="41"/>
      <c r="M12" s="31"/>
    </row>
    <row r="13" spans="1:13" ht="16.5" customHeight="1">
      <c r="A13" s="32"/>
      <c r="B13" s="42" t="s">
        <v>33</v>
      </c>
      <c r="C13" s="34"/>
      <c r="D13" s="35"/>
      <c r="E13" s="36"/>
      <c r="F13" s="43">
        <f>F12</f>
        <v>1200000</v>
      </c>
      <c r="G13" s="27"/>
      <c r="H13" s="27"/>
      <c r="I13" s="38"/>
      <c r="J13" s="39"/>
      <c r="K13" s="44"/>
      <c r="L13" s="41"/>
      <c r="M13" s="45"/>
    </row>
    <row r="14" spans="1:13">
      <c r="A14" s="46" t="s">
        <v>34</v>
      </c>
      <c r="B14" s="42" t="s">
        <v>35</v>
      </c>
      <c r="C14" s="34"/>
      <c r="D14" s="35"/>
      <c r="E14" s="36"/>
      <c r="F14" s="37"/>
      <c r="G14" s="27"/>
      <c r="H14" s="27"/>
      <c r="I14" s="38"/>
      <c r="J14" s="39"/>
      <c r="K14" s="47"/>
      <c r="L14" s="41"/>
      <c r="M14" s="31"/>
    </row>
    <row r="15" spans="1:13">
      <c r="A15" s="32">
        <v>1</v>
      </c>
      <c r="B15" s="33" t="s">
        <v>36</v>
      </c>
      <c r="C15" s="34"/>
      <c r="D15" s="35"/>
      <c r="E15" s="48"/>
      <c r="F15" s="37"/>
      <c r="G15" s="27"/>
      <c r="H15" s="27"/>
      <c r="I15" s="38"/>
      <c r="J15" s="39"/>
      <c r="K15" s="49"/>
      <c r="L15" s="41"/>
      <c r="M15" s="31"/>
    </row>
    <row r="16" spans="1:13">
      <c r="A16" s="32">
        <v>1.01</v>
      </c>
      <c r="B16" s="33" t="s">
        <v>37</v>
      </c>
      <c r="C16" s="34" t="s">
        <v>38</v>
      </c>
      <c r="D16" s="35">
        <v>1700</v>
      </c>
      <c r="E16" s="48">
        <v>50</v>
      </c>
      <c r="F16" s="37">
        <f t="shared" ref="F16:F40" si="0">D16*E16</f>
        <v>85000</v>
      </c>
      <c r="G16" s="27"/>
      <c r="H16" s="27">
        <v>850</v>
      </c>
      <c r="I16" s="38"/>
      <c r="J16" s="39"/>
      <c r="K16" s="44"/>
      <c r="L16" s="41">
        <f>H16*E16</f>
        <v>42500</v>
      </c>
      <c r="M16" s="31">
        <f>K16+L16</f>
        <v>42500</v>
      </c>
    </row>
    <row r="17" spans="1:13">
      <c r="A17" s="32"/>
      <c r="B17" s="42" t="s">
        <v>39</v>
      </c>
      <c r="C17" s="50"/>
      <c r="D17" s="51"/>
      <c r="E17" s="52"/>
      <c r="F17" s="43">
        <f>F16</f>
        <v>85000</v>
      </c>
      <c r="G17" s="27"/>
      <c r="H17" s="27"/>
      <c r="I17" s="38"/>
      <c r="J17" s="39"/>
      <c r="K17" s="44"/>
      <c r="L17" s="41"/>
      <c r="M17" s="31"/>
    </row>
    <row r="18" spans="1:13">
      <c r="A18" s="46">
        <v>2</v>
      </c>
      <c r="B18" s="42" t="s">
        <v>40</v>
      </c>
      <c r="C18" s="34"/>
      <c r="D18" s="35"/>
      <c r="E18" s="48"/>
      <c r="F18" s="37"/>
      <c r="G18" s="27"/>
      <c r="H18" s="27"/>
      <c r="I18" s="38"/>
      <c r="J18" s="39"/>
      <c r="K18" s="44"/>
      <c r="L18" s="41"/>
      <c r="M18" s="31"/>
    </row>
    <row r="19" spans="1:13" ht="17.25" customHeight="1">
      <c r="A19" s="53">
        <v>2.0099999999999998</v>
      </c>
      <c r="B19" s="33" t="s">
        <v>41</v>
      </c>
      <c r="C19" s="34" t="s">
        <v>38</v>
      </c>
      <c r="D19" s="35">
        <v>1785</v>
      </c>
      <c r="E19" s="48">
        <v>3934.23</v>
      </c>
      <c r="F19" s="37">
        <f t="shared" si="0"/>
        <v>7022600.5499999998</v>
      </c>
      <c r="G19" s="27"/>
      <c r="H19" s="27"/>
      <c r="I19" s="38"/>
      <c r="J19" s="39"/>
      <c r="K19" s="44"/>
      <c r="L19" s="41"/>
      <c r="M19" s="31"/>
    </row>
    <row r="20" spans="1:13">
      <c r="A20" s="32"/>
      <c r="B20" s="42" t="s">
        <v>42</v>
      </c>
      <c r="C20" s="50"/>
      <c r="D20" s="51"/>
      <c r="E20" s="52"/>
      <c r="F20" s="43">
        <f>F19</f>
        <v>7022600.5499999998</v>
      </c>
      <c r="G20" s="27"/>
      <c r="H20" s="27"/>
      <c r="I20" s="38"/>
      <c r="J20" s="39"/>
      <c r="K20" s="44"/>
      <c r="L20" s="41"/>
      <c r="M20" s="31"/>
    </row>
    <row r="21" spans="1:13">
      <c r="A21" s="46">
        <v>3</v>
      </c>
      <c r="B21" s="42" t="s">
        <v>43</v>
      </c>
      <c r="C21" s="34"/>
      <c r="D21" s="35"/>
      <c r="E21" s="48"/>
      <c r="F21" s="37"/>
      <c r="G21" s="27"/>
      <c r="H21" s="27"/>
      <c r="I21" s="38"/>
      <c r="J21" s="39"/>
      <c r="K21" s="54"/>
      <c r="L21" s="41"/>
      <c r="M21" s="31"/>
    </row>
    <row r="22" spans="1:13">
      <c r="A22" s="22">
        <v>3.01</v>
      </c>
      <c r="B22" s="55" t="s">
        <v>44</v>
      </c>
      <c r="C22" s="34" t="s">
        <v>45</v>
      </c>
      <c r="D22" s="35">
        <v>1530</v>
      </c>
      <c r="E22" s="48">
        <v>171.43</v>
      </c>
      <c r="F22" s="37">
        <f t="shared" si="0"/>
        <v>262287.90000000002</v>
      </c>
      <c r="G22" s="27"/>
      <c r="H22" s="27">
        <f>850*0.8*1.3</f>
        <v>884</v>
      </c>
      <c r="I22" s="38"/>
      <c r="J22" s="39"/>
      <c r="K22" s="30"/>
      <c r="L22" s="41">
        <f>H22*E22</f>
        <v>151544.12</v>
      </c>
      <c r="M22" s="31">
        <f t="shared" ref="M22:M26" si="1">K22+L22</f>
        <v>151544.12</v>
      </c>
    </row>
    <row r="23" spans="1:13">
      <c r="A23" s="56">
        <v>3.02</v>
      </c>
      <c r="B23" s="33" t="s">
        <v>46</v>
      </c>
      <c r="C23" s="57" t="s">
        <v>45</v>
      </c>
      <c r="D23" s="35">
        <v>127.5</v>
      </c>
      <c r="E23" s="48">
        <v>1450</v>
      </c>
      <c r="F23" s="37">
        <f t="shared" si="0"/>
        <v>184875</v>
      </c>
      <c r="G23" s="27"/>
      <c r="H23" s="27">
        <f>H16*0.1*0.8</f>
        <v>68</v>
      </c>
      <c r="I23" s="38"/>
      <c r="J23" s="39"/>
      <c r="K23" s="30"/>
      <c r="L23" s="41">
        <f>H23*E23</f>
        <v>98600</v>
      </c>
      <c r="M23" s="31">
        <f t="shared" si="1"/>
        <v>98600</v>
      </c>
    </row>
    <row r="24" spans="1:13">
      <c r="A24" s="32">
        <v>3.03</v>
      </c>
      <c r="B24" s="58" t="s">
        <v>47</v>
      </c>
      <c r="C24" s="34" t="s">
        <v>45</v>
      </c>
      <c r="D24" s="35">
        <v>256.91000000000003</v>
      </c>
      <c r="E24" s="48">
        <v>210.00206</v>
      </c>
      <c r="F24" s="37">
        <f t="shared" si="0"/>
        <v>53951.629234600005</v>
      </c>
      <c r="G24" s="27"/>
      <c r="H24" s="27">
        <v>141</v>
      </c>
      <c r="I24" s="38"/>
      <c r="J24" s="39"/>
      <c r="K24" s="40"/>
      <c r="L24" s="41">
        <f>H24*E24</f>
        <v>29610.29046</v>
      </c>
      <c r="M24" s="31">
        <f t="shared" si="1"/>
        <v>29610.29046</v>
      </c>
    </row>
    <row r="25" spans="1:13" ht="24.75">
      <c r="A25" s="32">
        <v>3.04</v>
      </c>
      <c r="B25" s="58" t="s">
        <v>48</v>
      </c>
      <c r="C25" s="34" t="s">
        <v>45</v>
      </c>
      <c r="D25" s="35">
        <v>1332.375</v>
      </c>
      <c r="E25" s="48">
        <v>125</v>
      </c>
      <c r="F25" s="37">
        <f>D25*E25</f>
        <v>166546.875</v>
      </c>
      <c r="G25" s="27"/>
      <c r="H25" s="27">
        <f>(H22-H23-H24)*1.25</f>
        <v>843.75</v>
      </c>
      <c r="I25" s="38"/>
      <c r="J25" s="39"/>
      <c r="K25" s="40"/>
      <c r="L25" s="41">
        <f>H25*E25</f>
        <v>105468.75</v>
      </c>
      <c r="M25" s="31">
        <f t="shared" si="1"/>
        <v>105468.75</v>
      </c>
    </row>
    <row r="26" spans="1:13">
      <c r="A26" s="32"/>
      <c r="B26" s="59" t="s">
        <v>49</v>
      </c>
      <c r="C26" s="60"/>
      <c r="D26" s="61"/>
      <c r="E26" s="62"/>
      <c r="F26" s="43">
        <f>SUM(F22:F25)</f>
        <v>667661.40423460002</v>
      </c>
      <c r="G26" s="27"/>
      <c r="H26" s="27"/>
      <c r="I26" s="38"/>
      <c r="J26" s="39"/>
      <c r="K26" s="40"/>
      <c r="L26" s="63">
        <f>SUM(L22:L25)</f>
        <v>385223.16045999998</v>
      </c>
      <c r="M26" s="64">
        <f t="shared" si="1"/>
        <v>385223.16045999998</v>
      </c>
    </row>
    <row r="27" spans="1:13">
      <c r="A27" s="46">
        <v>4</v>
      </c>
      <c r="B27" s="65" t="s">
        <v>50</v>
      </c>
      <c r="C27" s="66"/>
      <c r="D27" s="67"/>
      <c r="E27" s="68"/>
      <c r="F27" s="37"/>
      <c r="G27" s="27"/>
      <c r="H27" s="27"/>
      <c r="I27" s="38"/>
      <c r="J27" s="39"/>
      <c r="K27" s="40"/>
      <c r="L27" s="41"/>
      <c r="M27" s="31"/>
    </row>
    <row r="28" spans="1:13" ht="24.75">
      <c r="A28" s="32">
        <v>4.01</v>
      </c>
      <c r="B28" s="69" t="s">
        <v>51</v>
      </c>
      <c r="C28" s="66" t="s">
        <v>52</v>
      </c>
      <c r="D28" s="67">
        <v>6</v>
      </c>
      <c r="E28" s="68">
        <v>3150</v>
      </c>
      <c r="F28" s="37">
        <f t="shared" si="0"/>
        <v>18900</v>
      </c>
      <c r="G28" s="27"/>
      <c r="H28" s="27"/>
      <c r="I28" s="38"/>
      <c r="J28" s="39"/>
      <c r="K28" s="40"/>
      <c r="L28" s="41"/>
      <c r="M28" s="31"/>
    </row>
    <row r="29" spans="1:13">
      <c r="A29" s="32"/>
      <c r="B29" s="59" t="s">
        <v>53</v>
      </c>
      <c r="C29" s="50"/>
      <c r="D29" s="51"/>
      <c r="E29" s="52"/>
      <c r="F29" s="43">
        <f>F28</f>
        <v>18900</v>
      </c>
      <c r="G29" s="27"/>
      <c r="H29" s="27"/>
      <c r="I29" s="38"/>
      <c r="J29" s="39"/>
      <c r="K29" s="40"/>
      <c r="L29" s="41"/>
      <c r="M29" s="31"/>
    </row>
    <row r="30" spans="1:13">
      <c r="A30" s="46">
        <v>5</v>
      </c>
      <c r="B30" s="58" t="s">
        <v>54</v>
      </c>
      <c r="C30" s="34" t="s">
        <v>55</v>
      </c>
      <c r="D30" s="35">
        <v>1</v>
      </c>
      <c r="E30" s="48">
        <v>50000</v>
      </c>
      <c r="F30" s="37">
        <f>D30*E30</f>
        <v>50000</v>
      </c>
      <c r="G30" s="27"/>
      <c r="H30" s="27"/>
      <c r="I30" s="38"/>
      <c r="J30" s="39"/>
      <c r="K30" s="40"/>
      <c r="L30" s="41"/>
      <c r="M30" s="31"/>
    </row>
    <row r="31" spans="1:13">
      <c r="A31" s="32"/>
      <c r="B31" s="59" t="s">
        <v>56</v>
      </c>
      <c r="C31" s="50"/>
      <c r="D31" s="70"/>
      <c r="E31" s="52"/>
      <c r="F31" s="43">
        <f>F30</f>
        <v>50000</v>
      </c>
      <c r="G31" s="27"/>
      <c r="H31" s="27"/>
      <c r="I31" s="38"/>
      <c r="J31" s="39"/>
      <c r="K31" s="40"/>
      <c r="L31" s="41"/>
      <c r="M31" s="31"/>
    </row>
    <row r="32" spans="1:13">
      <c r="A32" s="32"/>
      <c r="B32" s="59"/>
      <c r="C32" s="50"/>
      <c r="D32" s="70"/>
      <c r="E32" s="52"/>
      <c r="F32" s="43"/>
      <c r="G32" s="27"/>
      <c r="H32" s="27"/>
      <c r="I32" s="38"/>
      <c r="J32" s="39"/>
      <c r="K32" s="40"/>
      <c r="L32" s="41"/>
      <c r="M32" s="31"/>
    </row>
    <row r="33" spans="1:13">
      <c r="A33" s="46" t="s">
        <v>57</v>
      </c>
      <c r="B33" s="42" t="s">
        <v>58</v>
      </c>
      <c r="C33" s="50"/>
      <c r="D33" s="70"/>
      <c r="E33" s="52"/>
      <c r="F33" s="37"/>
      <c r="G33" s="27"/>
      <c r="H33" s="27"/>
      <c r="I33" s="38"/>
      <c r="J33" s="39"/>
      <c r="K33" s="71"/>
      <c r="L33" s="72"/>
      <c r="M33" s="45"/>
    </row>
    <row r="34" spans="1:13" ht="72.75">
      <c r="A34" s="32">
        <v>1</v>
      </c>
      <c r="B34" s="33" t="s">
        <v>59</v>
      </c>
      <c r="C34" s="34" t="s">
        <v>52</v>
      </c>
      <c r="D34" s="26">
        <v>1</v>
      </c>
      <c r="E34" s="48">
        <v>420000</v>
      </c>
      <c r="F34" s="37">
        <f t="shared" si="0"/>
        <v>420000</v>
      </c>
      <c r="G34" s="27"/>
      <c r="H34" s="27"/>
      <c r="I34" s="38"/>
      <c r="J34" s="39"/>
      <c r="K34" s="40"/>
      <c r="L34" s="41"/>
      <c r="M34" s="31"/>
    </row>
    <row r="35" spans="1:13" ht="50.25" customHeight="1">
      <c r="A35" s="32">
        <v>2</v>
      </c>
      <c r="B35" s="33" t="s">
        <v>60</v>
      </c>
      <c r="C35" s="34" t="s">
        <v>52</v>
      </c>
      <c r="D35" s="26">
        <v>1</v>
      </c>
      <c r="E35" s="48">
        <v>34433.4</v>
      </c>
      <c r="F35" s="37">
        <f>E35*D35</f>
        <v>34433.4</v>
      </c>
      <c r="G35" s="27"/>
      <c r="H35" s="27"/>
      <c r="I35" s="38"/>
      <c r="J35" s="39"/>
      <c r="K35" s="40"/>
      <c r="L35" s="41"/>
      <c r="M35" s="31"/>
    </row>
    <row r="36" spans="1:13" ht="60.75">
      <c r="A36" s="32">
        <v>3</v>
      </c>
      <c r="B36" s="33" t="s">
        <v>61</v>
      </c>
      <c r="C36" s="34" t="s">
        <v>52</v>
      </c>
      <c r="D36" s="26">
        <v>1</v>
      </c>
      <c r="E36" s="48">
        <v>51639.4</v>
      </c>
      <c r="F36" s="37">
        <f t="shared" si="0"/>
        <v>51639.4</v>
      </c>
      <c r="G36" s="27"/>
      <c r="H36" s="27"/>
      <c r="I36" s="38"/>
      <c r="J36" s="39"/>
      <c r="K36" s="40"/>
      <c r="L36" s="41"/>
      <c r="M36" s="31"/>
    </row>
    <row r="37" spans="1:13" ht="36.75">
      <c r="A37" s="73">
        <v>4</v>
      </c>
      <c r="B37" s="33" t="s">
        <v>62</v>
      </c>
      <c r="C37" s="34" t="s">
        <v>52</v>
      </c>
      <c r="D37" s="57">
        <v>1</v>
      </c>
      <c r="E37" s="36">
        <v>16000</v>
      </c>
      <c r="F37" s="37">
        <f t="shared" si="0"/>
        <v>16000</v>
      </c>
      <c r="G37" s="27"/>
      <c r="H37" s="27"/>
      <c r="I37" s="74"/>
      <c r="J37" s="75"/>
      <c r="K37" s="72"/>
      <c r="L37" s="41"/>
      <c r="M37" s="76"/>
    </row>
    <row r="38" spans="1:13" ht="24.75">
      <c r="A38" s="73">
        <v>5</v>
      </c>
      <c r="B38" s="58" t="s">
        <v>63</v>
      </c>
      <c r="C38" s="77" t="s">
        <v>52</v>
      </c>
      <c r="D38" s="78">
        <v>1</v>
      </c>
      <c r="E38" s="79">
        <v>7400</v>
      </c>
      <c r="F38" s="37">
        <f t="shared" si="0"/>
        <v>7400</v>
      </c>
      <c r="G38" s="27"/>
      <c r="H38" s="27"/>
      <c r="I38" s="74"/>
      <c r="J38" s="75"/>
      <c r="K38" s="72"/>
      <c r="L38" s="41"/>
      <c r="M38" s="31"/>
    </row>
    <row r="39" spans="1:13" ht="24.75">
      <c r="A39" s="73">
        <v>6</v>
      </c>
      <c r="B39" s="58" t="s">
        <v>64</v>
      </c>
      <c r="C39" s="77" t="s">
        <v>52</v>
      </c>
      <c r="D39" s="78">
        <v>1</v>
      </c>
      <c r="E39" s="80">
        <v>2250</v>
      </c>
      <c r="F39" s="37">
        <f t="shared" si="0"/>
        <v>2250</v>
      </c>
      <c r="G39" s="27"/>
      <c r="H39" s="27"/>
      <c r="I39" s="38"/>
      <c r="J39" s="39"/>
      <c r="K39" s="40"/>
      <c r="L39" s="41"/>
      <c r="M39" s="31"/>
    </row>
    <row r="40" spans="1:13" ht="36.75">
      <c r="A40" s="73">
        <v>7</v>
      </c>
      <c r="B40" s="58" t="s">
        <v>65</v>
      </c>
      <c r="C40" s="77" t="s">
        <v>38</v>
      </c>
      <c r="D40" s="78">
        <v>16</v>
      </c>
      <c r="E40" s="80">
        <v>4400</v>
      </c>
      <c r="F40" s="37">
        <f t="shared" si="0"/>
        <v>70400</v>
      </c>
      <c r="G40" s="27"/>
      <c r="H40" s="27"/>
      <c r="I40" s="38"/>
      <c r="J40" s="39"/>
      <c r="K40" s="40"/>
      <c r="L40" s="41"/>
      <c r="M40" s="31"/>
    </row>
    <row r="41" spans="1:13">
      <c r="A41" s="73"/>
      <c r="B41" s="59" t="s">
        <v>66</v>
      </c>
      <c r="C41" s="81"/>
      <c r="D41" s="82"/>
      <c r="E41" s="83"/>
      <c r="F41" s="43">
        <f>SUM(F34:F40)</f>
        <v>602122.80000000005</v>
      </c>
      <c r="G41" s="27"/>
      <c r="H41" s="27"/>
      <c r="I41" s="38"/>
      <c r="J41" s="39"/>
      <c r="K41" s="40"/>
      <c r="L41" s="41"/>
      <c r="M41" s="31"/>
    </row>
    <row r="42" spans="1:13">
      <c r="A42" s="84" t="s">
        <v>67</v>
      </c>
      <c r="B42" s="59" t="s">
        <v>68</v>
      </c>
      <c r="C42" s="57"/>
      <c r="D42" s="26"/>
      <c r="E42" s="36"/>
      <c r="F42" s="37"/>
      <c r="G42" s="38"/>
      <c r="H42" s="38"/>
      <c r="I42" s="38"/>
      <c r="J42" s="39"/>
      <c r="K42" s="40"/>
      <c r="L42" s="41"/>
      <c r="M42" s="31"/>
    </row>
    <row r="43" spans="1:13" ht="72.75">
      <c r="A43" s="85">
        <v>1</v>
      </c>
      <c r="B43" s="58" t="s">
        <v>69</v>
      </c>
      <c r="C43" s="34" t="s">
        <v>52</v>
      </c>
      <c r="D43" s="26">
        <v>1</v>
      </c>
      <c r="E43" s="48">
        <v>420000</v>
      </c>
      <c r="F43" s="37">
        <f t="shared" ref="F43" si="2">D43*E43</f>
        <v>420000</v>
      </c>
      <c r="G43" s="38"/>
      <c r="H43" s="38"/>
      <c r="I43" s="38"/>
      <c r="J43" s="39"/>
      <c r="K43" s="40"/>
      <c r="L43" s="41"/>
      <c r="M43" s="31"/>
    </row>
    <row r="44" spans="1:13" ht="51.75" customHeight="1">
      <c r="A44" s="85">
        <v>2</v>
      </c>
      <c r="B44" s="58" t="s">
        <v>60</v>
      </c>
      <c r="C44" s="34" t="s">
        <v>52</v>
      </c>
      <c r="D44" s="26">
        <v>1</v>
      </c>
      <c r="E44" s="48">
        <v>34433.4</v>
      </c>
      <c r="F44" s="37">
        <f>E44*D44</f>
        <v>34433.4</v>
      </c>
      <c r="G44" s="38"/>
      <c r="H44" s="38"/>
      <c r="I44" s="38"/>
      <c r="J44" s="39"/>
      <c r="K44" s="40"/>
      <c r="L44" s="41"/>
      <c r="M44" s="31"/>
    </row>
    <row r="45" spans="1:13" ht="60.75">
      <c r="A45" s="85">
        <v>3</v>
      </c>
      <c r="B45" s="58" t="s">
        <v>61</v>
      </c>
      <c r="C45" s="34" t="s">
        <v>52</v>
      </c>
      <c r="D45" s="26">
        <v>1</v>
      </c>
      <c r="E45" s="48">
        <v>51639.4</v>
      </c>
      <c r="F45" s="37">
        <f t="shared" ref="F45:F49" si="3">D45*E45</f>
        <v>51639.4</v>
      </c>
      <c r="G45" s="38"/>
      <c r="H45" s="38"/>
      <c r="I45" s="38"/>
      <c r="J45" s="39"/>
      <c r="K45" s="40"/>
      <c r="L45" s="41"/>
      <c r="M45" s="31"/>
    </row>
    <row r="46" spans="1:13" ht="36">
      <c r="A46" s="73">
        <v>4</v>
      </c>
      <c r="B46" s="86" t="s">
        <v>62</v>
      </c>
      <c r="C46" s="34" t="s">
        <v>52</v>
      </c>
      <c r="D46" s="57">
        <v>1</v>
      </c>
      <c r="E46" s="36">
        <v>16000</v>
      </c>
      <c r="F46" s="37">
        <f t="shared" si="3"/>
        <v>16000</v>
      </c>
      <c r="G46" s="27"/>
      <c r="H46" s="38"/>
      <c r="I46" s="74"/>
      <c r="J46" s="75"/>
      <c r="K46" s="72"/>
      <c r="L46" s="87"/>
      <c r="M46" s="45"/>
    </row>
    <row r="47" spans="1:13" ht="48.75">
      <c r="A47" s="73">
        <v>5</v>
      </c>
      <c r="B47" s="58" t="s">
        <v>70</v>
      </c>
      <c r="C47" s="77" t="s">
        <v>52</v>
      </c>
      <c r="D47" s="78">
        <v>1</v>
      </c>
      <c r="E47" s="79">
        <v>7400</v>
      </c>
      <c r="F47" s="37">
        <f t="shared" si="3"/>
        <v>7400</v>
      </c>
      <c r="G47" s="27"/>
      <c r="H47" s="38"/>
      <c r="I47" s="74"/>
      <c r="J47" s="75"/>
      <c r="K47" s="72"/>
      <c r="L47" s="88"/>
      <c r="M47" s="31"/>
    </row>
    <row r="48" spans="1:13" ht="24.75">
      <c r="A48" s="73">
        <v>6</v>
      </c>
      <c r="B48" s="58" t="s">
        <v>64</v>
      </c>
      <c r="C48" s="77" t="s">
        <v>52</v>
      </c>
      <c r="D48" s="78">
        <v>1</v>
      </c>
      <c r="E48" s="80">
        <v>2250</v>
      </c>
      <c r="F48" s="37">
        <f t="shared" si="3"/>
        <v>2250</v>
      </c>
      <c r="G48" s="27"/>
      <c r="H48" s="38"/>
      <c r="I48" s="74"/>
      <c r="J48" s="75"/>
      <c r="K48" s="72"/>
      <c r="L48" s="88"/>
      <c r="M48" s="31"/>
    </row>
    <row r="49" spans="1:13" ht="36.75">
      <c r="A49" s="73">
        <v>7</v>
      </c>
      <c r="B49" s="58" t="s">
        <v>65</v>
      </c>
      <c r="C49" s="77" t="s">
        <v>38</v>
      </c>
      <c r="D49" s="78">
        <v>16</v>
      </c>
      <c r="E49" s="80">
        <v>4400</v>
      </c>
      <c r="F49" s="37">
        <f t="shared" si="3"/>
        <v>70400</v>
      </c>
      <c r="G49" s="27"/>
      <c r="H49" s="38"/>
      <c r="I49" s="74"/>
      <c r="J49" s="75"/>
      <c r="K49" s="72"/>
      <c r="L49" s="88"/>
      <c r="M49" s="31"/>
    </row>
    <row r="50" spans="1:13">
      <c r="A50" s="73"/>
      <c r="B50" s="59" t="s">
        <v>39</v>
      </c>
      <c r="C50" s="81"/>
      <c r="D50" s="82"/>
      <c r="E50" s="83"/>
      <c r="F50" s="43">
        <f>SUM(F43:F49)</f>
        <v>602122.80000000005</v>
      </c>
      <c r="G50" s="27"/>
      <c r="H50" s="38"/>
      <c r="I50" s="74"/>
      <c r="J50" s="75"/>
      <c r="K50" s="72"/>
      <c r="L50" s="88"/>
      <c r="M50" s="31"/>
    </row>
    <row r="51" spans="1:13">
      <c r="A51" s="84" t="s">
        <v>71</v>
      </c>
      <c r="B51" s="59" t="s">
        <v>72</v>
      </c>
      <c r="C51" s="81"/>
      <c r="D51" s="82"/>
      <c r="E51" s="83"/>
      <c r="F51" s="43"/>
      <c r="G51" s="27"/>
      <c r="H51" s="38"/>
      <c r="I51" s="74"/>
      <c r="J51" s="75"/>
      <c r="K51" s="72"/>
      <c r="L51" s="88"/>
      <c r="M51" s="31"/>
    </row>
    <row r="52" spans="1:13" ht="72.75">
      <c r="A52" s="85">
        <v>1</v>
      </c>
      <c r="B52" s="58" t="s">
        <v>69</v>
      </c>
      <c r="C52" s="34" t="s">
        <v>52</v>
      </c>
      <c r="D52" s="26">
        <v>1</v>
      </c>
      <c r="E52" s="48">
        <v>420000</v>
      </c>
      <c r="F52" s="37">
        <f t="shared" ref="F52" si="4">D52*E52</f>
        <v>420000</v>
      </c>
      <c r="G52" s="27"/>
      <c r="H52" s="38"/>
      <c r="I52" s="74"/>
      <c r="J52" s="75"/>
      <c r="K52" s="72"/>
      <c r="L52" s="88"/>
      <c r="M52" s="31"/>
    </row>
    <row r="53" spans="1:13" ht="51" customHeight="1">
      <c r="A53" s="85">
        <v>2</v>
      </c>
      <c r="B53" s="58" t="s">
        <v>60</v>
      </c>
      <c r="C53" s="34" t="s">
        <v>52</v>
      </c>
      <c r="D53" s="26">
        <v>1</v>
      </c>
      <c r="E53" s="48">
        <v>34433.4</v>
      </c>
      <c r="F53" s="37">
        <f>E53*D53</f>
        <v>34433.4</v>
      </c>
      <c r="G53" s="27"/>
      <c r="H53" s="38"/>
      <c r="I53" s="74"/>
      <c r="J53" s="75"/>
      <c r="K53" s="72"/>
      <c r="L53" s="88"/>
      <c r="M53" s="31"/>
    </row>
    <row r="54" spans="1:13" ht="60.75">
      <c r="A54" s="85">
        <v>3</v>
      </c>
      <c r="B54" s="58" t="s">
        <v>61</v>
      </c>
      <c r="C54" s="34" t="s">
        <v>52</v>
      </c>
      <c r="D54" s="26">
        <v>1</v>
      </c>
      <c r="E54" s="48">
        <v>51639.4</v>
      </c>
      <c r="F54" s="37">
        <f t="shared" ref="F54:F58" si="5">D54*E54</f>
        <v>51639.4</v>
      </c>
      <c r="G54" s="27"/>
      <c r="H54" s="38"/>
      <c r="I54" s="74"/>
      <c r="J54" s="75"/>
      <c r="K54" s="72"/>
      <c r="L54" s="88"/>
      <c r="M54" s="31"/>
    </row>
    <row r="55" spans="1:13" ht="36">
      <c r="A55" s="73">
        <v>4</v>
      </c>
      <c r="B55" s="86" t="s">
        <v>62</v>
      </c>
      <c r="C55" s="34" t="s">
        <v>52</v>
      </c>
      <c r="D55" s="57">
        <v>1</v>
      </c>
      <c r="E55" s="36">
        <v>16000</v>
      </c>
      <c r="F55" s="37">
        <f t="shared" si="5"/>
        <v>16000</v>
      </c>
      <c r="G55" s="27"/>
      <c r="H55" s="38"/>
      <c r="I55" s="74"/>
      <c r="J55" s="75"/>
      <c r="K55" s="72"/>
      <c r="L55" s="88"/>
      <c r="M55" s="31"/>
    </row>
    <row r="56" spans="1:13" ht="48.75">
      <c r="A56" s="73">
        <v>5</v>
      </c>
      <c r="B56" s="58" t="s">
        <v>70</v>
      </c>
      <c r="C56" s="77" t="s">
        <v>52</v>
      </c>
      <c r="D56" s="78">
        <v>1</v>
      </c>
      <c r="E56" s="79">
        <v>7400</v>
      </c>
      <c r="F56" s="37">
        <f t="shared" si="5"/>
        <v>7400</v>
      </c>
      <c r="G56" s="27"/>
      <c r="H56" s="38"/>
      <c r="I56" s="74"/>
      <c r="J56" s="75"/>
      <c r="K56" s="72"/>
      <c r="L56" s="88"/>
      <c r="M56" s="31"/>
    </row>
    <row r="57" spans="1:13" ht="24.75">
      <c r="A57" s="73">
        <v>6</v>
      </c>
      <c r="B57" s="58" t="s">
        <v>64</v>
      </c>
      <c r="C57" s="77" t="s">
        <v>52</v>
      </c>
      <c r="D57" s="78">
        <v>1</v>
      </c>
      <c r="E57" s="80">
        <v>2250</v>
      </c>
      <c r="F57" s="37">
        <f t="shared" si="5"/>
        <v>2250</v>
      </c>
      <c r="G57" s="27"/>
      <c r="H57" s="38"/>
      <c r="I57" s="74"/>
      <c r="J57" s="75"/>
      <c r="K57" s="72"/>
      <c r="L57" s="88"/>
      <c r="M57" s="31"/>
    </row>
    <row r="58" spans="1:13" ht="36.75">
      <c r="A58" s="73">
        <v>7</v>
      </c>
      <c r="B58" s="58" t="s">
        <v>65</v>
      </c>
      <c r="C58" s="77" t="s">
        <v>38</v>
      </c>
      <c r="D58" s="78">
        <v>16</v>
      </c>
      <c r="E58" s="80">
        <v>4400</v>
      </c>
      <c r="F58" s="37">
        <f t="shared" si="5"/>
        <v>70400</v>
      </c>
      <c r="G58" s="27"/>
      <c r="H58" s="38"/>
      <c r="I58" s="74"/>
      <c r="J58" s="75"/>
      <c r="K58" s="72"/>
      <c r="L58" s="88"/>
      <c r="M58" s="31"/>
    </row>
    <row r="59" spans="1:13">
      <c r="A59" s="73"/>
      <c r="B59" s="59" t="s">
        <v>66</v>
      </c>
      <c r="C59" s="77"/>
      <c r="D59" s="89"/>
      <c r="E59" s="90"/>
      <c r="F59" s="43">
        <f>SUM(F52:F58)</f>
        <v>602122.80000000005</v>
      </c>
      <c r="G59" s="27"/>
      <c r="H59" s="38"/>
      <c r="I59" s="74"/>
      <c r="J59" s="75"/>
      <c r="K59" s="72"/>
      <c r="L59" s="88"/>
      <c r="M59" s="31"/>
    </row>
    <row r="60" spans="1:13">
      <c r="A60" s="7"/>
      <c r="B60" s="91" t="s">
        <v>73</v>
      </c>
      <c r="C60" s="7"/>
      <c r="D60" s="7"/>
      <c r="E60" s="92"/>
      <c r="F60" s="93">
        <f>F59+F50+F41+F31+F29+F26+F20+F17+F13</f>
        <v>10850530.3542346</v>
      </c>
      <c r="G60" s="7"/>
      <c r="H60" s="7"/>
      <c r="I60" s="7"/>
      <c r="J60" s="7"/>
      <c r="K60" s="94"/>
      <c r="L60" s="95"/>
      <c r="M60" s="96"/>
    </row>
    <row r="61" spans="1:13">
      <c r="A61" s="7"/>
      <c r="B61" s="10"/>
      <c r="C61" s="7"/>
      <c r="D61" s="7"/>
      <c r="E61" s="92"/>
      <c r="F61" s="7"/>
      <c r="G61" s="7"/>
      <c r="H61" s="7"/>
      <c r="I61" s="7"/>
      <c r="J61" s="7"/>
      <c r="K61" s="97"/>
      <c r="L61" s="96"/>
      <c r="M61" s="96"/>
    </row>
    <row r="62" spans="1:13">
      <c r="B62" s="98" t="s">
        <v>74</v>
      </c>
      <c r="E62" s="99"/>
    </row>
    <row r="63" spans="1:13">
      <c r="A63" s="84">
        <v>1</v>
      </c>
      <c r="B63" s="42" t="s">
        <v>75</v>
      </c>
      <c r="C63" s="77"/>
      <c r="D63" s="78"/>
      <c r="E63" s="80"/>
      <c r="F63" s="37"/>
      <c r="G63" s="27"/>
      <c r="H63" s="38"/>
      <c r="I63" s="74"/>
      <c r="J63" s="75"/>
      <c r="K63" s="72"/>
      <c r="L63" s="87"/>
      <c r="M63" s="31"/>
    </row>
    <row r="64" spans="1:13">
      <c r="A64" s="66">
        <v>1.01</v>
      </c>
      <c r="B64" s="33" t="s">
        <v>76</v>
      </c>
      <c r="C64" s="77" t="s">
        <v>52</v>
      </c>
      <c r="D64" s="100">
        <v>2</v>
      </c>
      <c r="E64" s="80">
        <v>30000</v>
      </c>
      <c r="F64" s="37">
        <f t="shared" ref="F64:F65" si="6">D64*E64</f>
        <v>60000</v>
      </c>
      <c r="G64" s="101"/>
      <c r="H64" s="38">
        <f>D64</f>
        <v>2</v>
      </c>
      <c r="I64" s="74"/>
      <c r="J64" s="75"/>
      <c r="K64" s="72"/>
      <c r="L64" s="102">
        <f>H64*E64</f>
        <v>60000</v>
      </c>
      <c r="M64" s="31">
        <f t="shared" ref="M64:M71" si="7">K64+L64</f>
        <v>60000</v>
      </c>
    </row>
    <row r="65" spans="1:13">
      <c r="A65" s="103">
        <v>1.02</v>
      </c>
      <c r="B65" s="33" t="s">
        <v>77</v>
      </c>
      <c r="C65" s="66" t="s">
        <v>38</v>
      </c>
      <c r="D65" s="104">
        <v>1156</v>
      </c>
      <c r="E65" s="105">
        <v>38.92</v>
      </c>
      <c r="F65" s="37">
        <f t="shared" si="6"/>
        <v>44991.520000000004</v>
      </c>
      <c r="G65" s="101"/>
      <c r="H65" s="38">
        <v>850</v>
      </c>
      <c r="I65" s="74"/>
      <c r="J65" s="75"/>
      <c r="K65" s="72"/>
      <c r="L65" s="102">
        <f t="shared" ref="L65" si="8">H65*E65</f>
        <v>33082</v>
      </c>
      <c r="M65" s="31">
        <f t="shared" si="7"/>
        <v>33082</v>
      </c>
    </row>
    <row r="66" spans="1:13">
      <c r="A66" s="106"/>
      <c r="B66" s="59" t="s">
        <v>39</v>
      </c>
      <c r="C66" s="106"/>
      <c r="D66" s="106"/>
      <c r="E66" s="107"/>
      <c r="F66" s="108">
        <f>SUM(F64:F65)</f>
        <v>104991.52</v>
      </c>
      <c r="G66" s="101"/>
      <c r="H66" s="101"/>
      <c r="I66" s="101"/>
      <c r="J66" s="101"/>
      <c r="K66" s="72"/>
      <c r="L66" s="109">
        <f>SUM(L64:L65)</f>
        <v>93082</v>
      </c>
      <c r="M66" s="64">
        <f t="shared" si="7"/>
        <v>93082</v>
      </c>
    </row>
    <row r="67" spans="1:13">
      <c r="A67" s="84">
        <v>2</v>
      </c>
      <c r="B67" s="42" t="s">
        <v>78</v>
      </c>
      <c r="C67" s="77"/>
      <c r="D67" s="78"/>
      <c r="E67" s="80"/>
      <c r="F67" s="110"/>
      <c r="G67" s="101"/>
      <c r="H67" s="38"/>
      <c r="I67" s="74"/>
      <c r="J67" s="75"/>
      <c r="K67" s="72"/>
      <c r="L67" s="102"/>
      <c r="M67" s="64">
        <f t="shared" si="7"/>
        <v>0</v>
      </c>
    </row>
    <row r="68" spans="1:13" ht="24.75">
      <c r="A68" s="66">
        <v>2.0099999999999998</v>
      </c>
      <c r="B68" s="33" t="s">
        <v>79</v>
      </c>
      <c r="C68" s="66" t="s">
        <v>38</v>
      </c>
      <c r="D68" s="104">
        <v>1108.8</v>
      </c>
      <c r="E68" s="105">
        <v>8439.2000000000007</v>
      </c>
      <c r="F68" s="37">
        <f t="shared" ref="F68" si="9">D68*E68</f>
        <v>9357384.9600000009</v>
      </c>
      <c r="G68" s="101"/>
      <c r="H68" s="38">
        <v>850</v>
      </c>
      <c r="I68" s="74"/>
      <c r="J68" s="75"/>
      <c r="K68" s="72"/>
      <c r="L68" s="102">
        <f>H68*E68</f>
        <v>7173320.0000000009</v>
      </c>
      <c r="M68" s="31">
        <f t="shared" si="7"/>
        <v>7173320.0000000009</v>
      </c>
    </row>
    <row r="69" spans="1:13">
      <c r="A69" s="103">
        <v>3</v>
      </c>
      <c r="B69" s="42" t="s">
        <v>40</v>
      </c>
      <c r="C69" s="111"/>
      <c r="D69" s="111"/>
      <c r="E69" s="105"/>
      <c r="F69" s="111"/>
      <c r="G69" s="101"/>
      <c r="H69" s="38"/>
      <c r="I69" s="74"/>
      <c r="J69" s="75"/>
      <c r="K69" s="72"/>
      <c r="L69" s="102"/>
      <c r="M69" s="31">
        <f t="shared" si="7"/>
        <v>0</v>
      </c>
    </row>
    <row r="70" spans="1:13">
      <c r="A70" s="103">
        <v>3.01</v>
      </c>
      <c r="B70" s="33" t="s">
        <v>80</v>
      </c>
      <c r="C70" s="66" t="s">
        <v>38</v>
      </c>
      <c r="D70" s="104">
        <v>1056</v>
      </c>
      <c r="E70" s="105">
        <v>69.38</v>
      </c>
      <c r="F70" s="37">
        <f t="shared" ref="F70" si="10">D70*E70</f>
        <v>73265.279999999999</v>
      </c>
      <c r="G70" s="101"/>
      <c r="H70" s="38">
        <v>850</v>
      </c>
      <c r="I70" s="74"/>
      <c r="J70" s="75"/>
      <c r="K70" s="72"/>
      <c r="L70" s="102">
        <f>H70*E70</f>
        <v>58972.999999999993</v>
      </c>
      <c r="M70" s="31">
        <f t="shared" si="7"/>
        <v>58972.999999999993</v>
      </c>
    </row>
    <row r="71" spans="1:13">
      <c r="A71" s="111"/>
      <c r="B71" s="59" t="s">
        <v>39</v>
      </c>
      <c r="C71" s="112"/>
      <c r="D71" s="112"/>
      <c r="E71" s="113"/>
      <c r="F71" s="114">
        <f>SUM(F68:F70)</f>
        <v>9430650.2400000002</v>
      </c>
      <c r="G71" s="101"/>
      <c r="H71" s="38"/>
      <c r="I71" s="74"/>
      <c r="J71" s="75"/>
      <c r="K71" s="72"/>
      <c r="L71" s="115">
        <f>SUM(L68:L70)</f>
        <v>7232293.0000000009</v>
      </c>
      <c r="M71" s="64">
        <f t="shared" si="7"/>
        <v>7232293.0000000009</v>
      </c>
    </row>
    <row r="72" spans="1:13">
      <c r="A72" s="116"/>
      <c r="B72" s="10" t="s">
        <v>81</v>
      </c>
      <c r="C72" s="117"/>
      <c r="D72" s="117"/>
      <c r="E72" s="98"/>
      <c r="F72" s="118">
        <f>F66+F71</f>
        <v>9535641.7599999998</v>
      </c>
      <c r="G72" s="119"/>
      <c r="H72" s="120"/>
      <c r="I72" s="121"/>
      <c r="J72" s="122"/>
      <c r="K72" s="123"/>
      <c r="L72" s="124">
        <f>L66+L71</f>
        <v>7325375.0000000009</v>
      </c>
      <c r="M72" s="125"/>
    </row>
    <row r="73" spans="1:13">
      <c r="A73" s="116"/>
      <c r="B73" s="91" t="s">
        <v>82</v>
      </c>
      <c r="C73" s="117"/>
      <c r="D73" s="117"/>
      <c r="E73" s="98"/>
      <c r="F73" s="118">
        <f>F60</f>
        <v>10850530.3542346</v>
      </c>
      <c r="G73" s="119"/>
      <c r="H73" s="120"/>
      <c r="I73" s="121"/>
      <c r="J73" s="122"/>
      <c r="K73" s="123"/>
      <c r="L73" s="124">
        <f>L26+L16</f>
        <v>427723.16045999998</v>
      </c>
      <c r="M73" s="125"/>
    </row>
    <row r="74" spans="1:13">
      <c r="A74" s="116"/>
      <c r="B74" s="126" t="s">
        <v>83</v>
      </c>
      <c r="C74" s="7"/>
      <c r="D74" s="7"/>
      <c r="E74" s="98"/>
      <c r="F74" s="118">
        <f>F20</f>
        <v>7022600.5499999998</v>
      </c>
      <c r="G74" s="119"/>
      <c r="H74" s="120"/>
      <c r="I74" s="121"/>
      <c r="J74" s="122"/>
      <c r="K74" s="123"/>
      <c r="L74" s="124"/>
      <c r="M74" s="125"/>
    </row>
    <row r="75" spans="1:13">
      <c r="A75" s="116"/>
      <c r="B75" s="10" t="s">
        <v>84</v>
      </c>
      <c r="C75" s="7"/>
      <c r="D75" s="7"/>
      <c r="E75" s="98"/>
      <c r="F75" s="118">
        <f>F73-F74</f>
        <v>3827929.8042346006</v>
      </c>
      <c r="G75" s="119"/>
      <c r="H75" s="120"/>
      <c r="I75" s="121"/>
      <c r="J75" s="122"/>
      <c r="K75" s="123"/>
      <c r="L75" s="124"/>
      <c r="M75" s="125"/>
    </row>
    <row r="76" spans="1:13">
      <c r="A76" s="116"/>
      <c r="B76" s="10" t="s">
        <v>85</v>
      </c>
      <c r="C76" s="7"/>
      <c r="D76" s="7"/>
      <c r="E76" s="98"/>
      <c r="F76" s="118">
        <f>F72+F75</f>
        <v>13363571.564234599</v>
      </c>
      <c r="H76" s="120"/>
      <c r="I76" s="121"/>
      <c r="J76" s="122"/>
      <c r="K76" s="123"/>
      <c r="L76" s="124">
        <f>L72+L73</f>
        <v>7753098.1604600009</v>
      </c>
      <c r="M76" s="125"/>
    </row>
    <row r="77" spans="1:13">
      <c r="A77" s="116"/>
      <c r="B77" s="10"/>
      <c r="C77" s="7"/>
      <c r="D77" s="7"/>
      <c r="E77" s="98"/>
      <c r="F77" s="118"/>
      <c r="G77" s="119"/>
      <c r="H77" s="120"/>
      <c r="I77" s="121"/>
      <c r="J77" s="122"/>
      <c r="K77" s="123"/>
      <c r="L77" s="124"/>
      <c r="M77" s="125"/>
    </row>
    <row r="78" spans="1:13">
      <c r="A78" s="116"/>
      <c r="B78" s="6"/>
      <c r="C78" s="98"/>
      <c r="D78" s="98"/>
      <c r="E78" s="98"/>
      <c r="G78" s="119"/>
      <c r="H78" s="120"/>
      <c r="I78" s="121"/>
      <c r="J78" s="122"/>
      <c r="K78" s="123"/>
      <c r="L78" s="124"/>
      <c r="M78" s="125"/>
    </row>
    <row r="79" spans="1:13">
      <c r="A79" s="116"/>
      <c r="B79" s="6"/>
      <c r="C79" s="98"/>
      <c r="D79" s="98"/>
      <c r="E79" s="98"/>
      <c r="F79" s="118"/>
      <c r="G79" s="119"/>
      <c r="H79" s="120"/>
      <c r="I79" s="121"/>
      <c r="J79" s="122"/>
      <c r="K79" s="123"/>
      <c r="L79" s="124"/>
      <c r="M79" s="125"/>
    </row>
    <row r="80" spans="1:13">
      <c r="A80" s="116"/>
      <c r="B80" s="6"/>
      <c r="C80" s="98"/>
      <c r="D80" s="98"/>
      <c r="E80" s="98"/>
      <c r="F80" s="118"/>
      <c r="G80" s="119"/>
      <c r="H80" s="120"/>
      <c r="I80" s="121"/>
      <c r="J80" s="122"/>
      <c r="K80" s="123"/>
      <c r="L80" s="124"/>
      <c r="M80" s="125"/>
    </row>
    <row r="81" spans="1:13">
      <c r="A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1:13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1:13">
      <c r="A84" s="2"/>
      <c r="B84" s="1085" t="s">
        <v>86</v>
      </c>
      <c r="C84" s="1085"/>
      <c r="D84" s="1085"/>
      <c r="E84" s="1085"/>
      <c r="F84" s="1085"/>
      <c r="G84" s="1085"/>
      <c r="H84" s="1085"/>
      <c r="I84" s="1085"/>
      <c r="J84" s="1085"/>
      <c r="K84" s="1085"/>
      <c r="L84" s="10"/>
      <c r="M84" s="10"/>
    </row>
    <row r="85" spans="1:13">
      <c r="A85" s="2"/>
      <c r="B85" s="1079" t="s">
        <v>1</v>
      </c>
      <c r="C85" s="1079"/>
      <c r="D85" s="1079"/>
      <c r="E85" s="1079"/>
      <c r="F85" s="1079"/>
      <c r="G85" s="1079"/>
      <c r="H85" s="1079"/>
      <c r="I85" s="1079"/>
      <c r="J85" s="1079"/>
      <c r="K85" s="1079"/>
      <c r="L85" s="128"/>
      <c r="M85" s="129" t="s">
        <v>87</v>
      </c>
    </row>
    <row r="86" spans="1:13">
      <c r="A86" s="7"/>
      <c r="B86" s="130" t="s">
        <v>88</v>
      </c>
      <c r="C86" s="1086" t="s">
        <v>89</v>
      </c>
      <c r="D86" s="1086"/>
      <c r="E86" s="1086"/>
      <c r="F86" s="1086"/>
      <c r="G86" s="1086"/>
      <c r="H86" s="1086"/>
      <c r="I86" s="1086"/>
      <c r="J86" s="7"/>
      <c r="K86" s="7"/>
      <c r="L86" s="5" t="s">
        <v>5</v>
      </c>
      <c r="M86" s="131" t="s">
        <v>6</v>
      </c>
    </row>
    <row r="87" spans="1:13">
      <c r="A87" s="7"/>
      <c r="B87" s="5" t="s">
        <v>7</v>
      </c>
      <c r="C87" s="9">
        <v>1</v>
      </c>
      <c r="D87" s="7"/>
      <c r="E87" s="10"/>
      <c r="F87" s="10"/>
      <c r="G87" s="10"/>
      <c r="H87" s="7"/>
      <c r="I87" s="7"/>
      <c r="J87" s="7"/>
      <c r="K87" s="7"/>
      <c r="L87" s="5" t="s">
        <v>8</v>
      </c>
      <c r="M87" s="131">
        <v>2645359.2999999998</v>
      </c>
    </row>
    <row r="88" spans="1:13">
      <c r="A88" s="7"/>
      <c r="B88" s="5" t="s">
        <v>9</v>
      </c>
      <c r="C88" s="10" t="s">
        <v>10</v>
      </c>
      <c r="D88" s="10"/>
      <c r="E88" s="10"/>
      <c r="F88" s="10"/>
      <c r="G88" s="11"/>
      <c r="H88" s="7"/>
      <c r="I88" s="7"/>
      <c r="J88" s="7"/>
      <c r="K88" s="7"/>
      <c r="L88" s="5" t="s">
        <v>12</v>
      </c>
      <c r="M88" s="132" t="s">
        <v>13</v>
      </c>
    </row>
    <row r="89" spans="1:13">
      <c r="A89" s="7"/>
      <c r="B89" s="5" t="s">
        <v>14</v>
      </c>
      <c r="C89" s="10" t="s">
        <v>15</v>
      </c>
      <c r="D89" s="10"/>
      <c r="E89" s="10"/>
      <c r="F89" s="10"/>
      <c r="G89" s="10"/>
      <c r="H89" s="7"/>
      <c r="I89" s="7"/>
      <c r="J89" s="7"/>
      <c r="K89" s="7"/>
      <c r="L89" s="7"/>
      <c r="M89" s="7"/>
    </row>
    <row r="90" spans="1:13">
      <c r="A90" s="7"/>
      <c r="B90" s="5"/>
      <c r="C90" s="10"/>
      <c r="D90" s="10"/>
      <c r="E90" s="1085" t="s">
        <v>90</v>
      </c>
      <c r="F90" s="1085"/>
      <c r="G90" s="133"/>
      <c r="H90" s="1087" t="s">
        <v>25</v>
      </c>
      <c r="I90" s="1087"/>
      <c r="J90" s="1085" t="s">
        <v>26</v>
      </c>
      <c r="K90" s="1085"/>
      <c r="L90" s="1085" t="s">
        <v>27</v>
      </c>
      <c r="M90" s="1085"/>
    </row>
    <row r="91" spans="1:13">
      <c r="A91" s="7"/>
      <c r="B91" s="1085" t="s">
        <v>91</v>
      </c>
      <c r="C91" s="1085"/>
      <c r="D91" s="1085"/>
      <c r="E91" s="1088">
        <f>F76</f>
        <v>13363571.564234599</v>
      </c>
      <c r="F91" s="1088"/>
      <c r="G91" s="95"/>
      <c r="H91" s="1088"/>
      <c r="I91" s="1088"/>
      <c r="J91" s="1088">
        <f>L76</f>
        <v>7753098.1604600009</v>
      </c>
      <c r="K91" s="1088"/>
      <c r="L91" s="1089"/>
      <c r="M91" s="1089"/>
    </row>
    <row r="92" spans="1:13">
      <c r="A92" s="7"/>
      <c r="B92" s="9" t="s">
        <v>92</v>
      </c>
      <c r="C92" s="10"/>
      <c r="D92" s="10"/>
      <c r="E92" s="97"/>
      <c r="F92" s="97"/>
      <c r="G92" s="97"/>
      <c r="H92" s="1090">
        <v>7753098.1600000001</v>
      </c>
      <c r="I92" s="1090"/>
      <c r="J92" s="136"/>
      <c r="K92" s="136"/>
      <c r="L92" s="136"/>
      <c r="M92" s="136"/>
    </row>
    <row r="93" spans="1:13">
      <c r="A93" s="7"/>
      <c r="B93" s="9" t="s">
        <v>93</v>
      </c>
      <c r="C93" s="10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3">
      <c r="A94" s="138"/>
      <c r="B94" s="9" t="s">
        <v>94</v>
      </c>
      <c r="C94" s="139"/>
      <c r="D94" s="139"/>
      <c r="E94" s="1091"/>
      <c r="F94" s="1091"/>
      <c r="G94" s="141"/>
      <c r="H94" s="1091"/>
      <c r="I94" s="1091"/>
      <c r="J94" s="97"/>
      <c r="K94" s="97"/>
      <c r="L94" s="1091"/>
      <c r="M94" s="1091"/>
    </row>
    <row r="95" spans="1:13">
      <c r="A95" s="138"/>
      <c r="B95" s="10" t="s">
        <v>95</v>
      </c>
      <c r="C95" s="139"/>
      <c r="D95" s="142">
        <v>0.03</v>
      </c>
      <c r="E95" s="1091">
        <f>D95*E91</f>
        <v>400907.14692703797</v>
      </c>
      <c r="F95" s="1091"/>
      <c r="G95" s="141"/>
      <c r="H95" s="1092"/>
      <c r="I95" s="1092"/>
      <c r="J95" s="1093">
        <f>J91*D95</f>
        <v>232592.94481380002</v>
      </c>
      <c r="K95" s="1093"/>
      <c r="L95" s="1089">
        <f>H95+J95</f>
        <v>232592.94481380002</v>
      </c>
      <c r="M95" s="1089"/>
    </row>
    <row r="96" spans="1:13">
      <c r="A96" s="138"/>
      <c r="B96" s="10" t="s">
        <v>96</v>
      </c>
      <c r="C96" s="139"/>
      <c r="D96" s="144">
        <v>0.1</v>
      </c>
      <c r="E96" s="1091">
        <f>D96*E91</f>
        <v>1336357.15642346</v>
      </c>
      <c r="F96" s="1091"/>
      <c r="G96" s="141"/>
      <c r="H96" s="1092"/>
      <c r="I96" s="1092"/>
      <c r="J96" s="1093">
        <f>J91*D96</f>
        <v>775309.81604600011</v>
      </c>
      <c r="K96" s="1093"/>
      <c r="L96" s="1089">
        <f t="shared" ref="L96:L101" si="11">H96+J96</f>
        <v>775309.81604600011</v>
      </c>
      <c r="M96" s="1089"/>
    </row>
    <row r="97" spans="1:13">
      <c r="A97" s="138"/>
      <c r="B97" s="10" t="s">
        <v>97</v>
      </c>
      <c r="C97" s="139"/>
      <c r="D97" s="144">
        <v>0.18</v>
      </c>
      <c r="E97" s="1091">
        <f>D97*E96</f>
        <v>240544.28815622278</v>
      </c>
      <c r="F97" s="1091"/>
      <c r="G97" s="141"/>
      <c r="H97" s="1092"/>
      <c r="I97" s="1092"/>
      <c r="J97" s="1093">
        <f>J96*D97</f>
        <v>139555.76688828002</v>
      </c>
      <c r="K97" s="1093"/>
      <c r="L97" s="1089">
        <f t="shared" si="11"/>
        <v>139555.76688828002</v>
      </c>
      <c r="M97" s="1089"/>
    </row>
    <row r="98" spans="1:13">
      <c r="A98" s="138"/>
      <c r="B98" s="10" t="s">
        <v>98</v>
      </c>
      <c r="C98" s="144"/>
      <c r="D98" s="145">
        <v>0.03</v>
      </c>
      <c r="E98" s="1091">
        <f>D98*E91</f>
        <v>400907.14692703797</v>
      </c>
      <c r="F98" s="1091"/>
      <c r="G98" s="141"/>
      <c r="H98" s="1092"/>
      <c r="I98" s="1092"/>
      <c r="J98" s="1093">
        <f>J91*D98</f>
        <v>232592.94481380002</v>
      </c>
      <c r="K98" s="1093"/>
      <c r="L98" s="1089">
        <f t="shared" si="11"/>
        <v>232592.94481380002</v>
      </c>
      <c r="M98" s="1089"/>
    </row>
    <row r="99" spans="1:13">
      <c r="A99" s="138"/>
      <c r="B99" s="10" t="s">
        <v>99</v>
      </c>
      <c r="C99" s="139"/>
      <c r="D99" s="139">
        <v>0.03</v>
      </c>
      <c r="E99" s="1091">
        <f>D99*E91</f>
        <v>400907.14692703797</v>
      </c>
      <c r="F99" s="1091"/>
      <c r="G99" s="141"/>
      <c r="H99" s="1092"/>
      <c r="I99" s="1092"/>
      <c r="J99" s="1093">
        <f>J91*D99</f>
        <v>232592.94481380002</v>
      </c>
      <c r="K99" s="1093"/>
      <c r="L99" s="1089">
        <f t="shared" si="11"/>
        <v>232592.94481380002</v>
      </c>
      <c r="M99" s="1089"/>
    </row>
    <row r="100" spans="1:13">
      <c r="A100" s="138"/>
      <c r="B100" s="10" t="s">
        <v>100</v>
      </c>
      <c r="C100" s="139"/>
      <c r="D100" s="144">
        <v>0.01</v>
      </c>
      <c r="E100" s="1091">
        <f>D100*E91</f>
        <v>133635.71564234601</v>
      </c>
      <c r="F100" s="1091"/>
      <c r="G100" s="141"/>
      <c r="H100" s="1092"/>
      <c r="I100" s="1092"/>
      <c r="J100" s="1093">
        <f>J91*D100</f>
        <v>77530.981604600005</v>
      </c>
      <c r="K100" s="1093"/>
      <c r="L100" s="1089">
        <f t="shared" si="11"/>
        <v>77530.981604600005</v>
      </c>
      <c r="M100" s="1089"/>
    </row>
    <row r="101" spans="1:13">
      <c r="A101" s="138"/>
      <c r="B101" s="10" t="s">
        <v>101</v>
      </c>
      <c r="C101" s="139"/>
      <c r="D101" s="139">
        <v>1E-3</v>
      </c>
      <c r="E101" s="1091">
        <f>D101*E91</f>
        <v>13363.5715642346</v>
      </c>
      <c r="F101" s="1091"/>
      <c r="G101" s="141"/>
      <c r="H101" s="1092"/>
      <c r="I101" s="1092"/>
      <c r="J101" s="1093">
        <f>J91*D101</f>
        <v>7753.0981604600011</v>
      </c>
      <c r="K101" s="1093"/>
      <c r="L101" s="1089">
        <f t="shared" si="11"/>
        <v>7753.0981604600011</v>
      </c>
      <c r="M101" s="1089"/>
    </row>
    <row r="102" spans="1:13">
      <c r="A102" s="138"/>
      <c r="B102" s="10" t="s">
        <v>102</v>
      </c>
      <c r="C102" s="139"/>
      <c r="D102" s="144"/>
      <c r="E102" s="1091"/>
      <c r="F102" s="1091"/>
      <c r="G102" s="141"/>
      <c r="H102" s="146"/>
      <c r="I102" s="146"/>
      <c r="J102" s="146"/>
      <c r="K102" s="146"/>
      <c r="L102" s="146"/>
      <c r="M102" s="147"/>
    </row>
    <row r="103" spans="1:13">
      <c r="A103" s="138"/>
      <c r="B103" s="10" t="s">
        <v>103</v>
      </c>
      <c r="C103" s="148"/>
      <c r="D103" s="144"/>
      <c r="E103" s="1091"/>
      <c r="F103" s="1091"/>
      <c r="G103" s="141"/>
      <c r="H103" s="1094"/>
      <c r="I103" s="1094"/>
      <c r="J103" s="1095"/>
      <c r="K103" s="1095"/>
      <c r="L103" s="1094"/>
      <c r="M103" s="1094"/>
    </row>
    <row r="104" spans="1:13">
      <c r="A104" s="138"/>
      <c r="B104" s="10"/>
      <c r="C104" s="148"/>
      <c r="D104" s="151"/>
      <c r="E104" s="1091"/>
      <c r="F104" s="1091"/>
      <c r="G104" s="141"/>
      <c r="H104" s="149"/>
      <c r="I104" s="149"/>
      <c r="J104" s="150"/>
      <c r="K104" s="150"/>
      <c r="L104" s="149"/>
      <c r="M104" s="149"/>
    </row>
    <row r="105" spans="1:13">
      <c r="A105" s="138"/>
      <c r="B105" s="10"/>
      <c r="C105" s="148"/>
      <c r="D105" s="144"/>
      <c r="E105" s="1091"/>
      <c r="F105" s="1091"/>
      <c r="G105" s="141"/>
      <c r="H105" s="149"/>
      <c r="I105" s="149"/>
      <c r="J105" s="150"/>
      <c r="K105" s="150"/>
      <c r="L105" s="149"/>
      <c r="M105" s="149"/>
    </row>
    <row r="106" spans="1:13">
      <c r="A106" s="138"/>
      <c r="B106" s="10"/>
      <c r="C106" s="148"/>
      <c r="D106" s="144"/>
      <c r="E106" s="140"/>
      <c r="F106" s="140"/>
      <c r="G106" s="141"/>
      <c r="H106" s="149"/>
      <c r="I106" s="149"/>
      <c r="J106" s="150"/>
      <c r="K106" s="150"/>
      <c r="L106" s="149"/>
      <c r="M106" s="149"/>
    </row>
    <row r="107" spans="1:13">
      <c r="A107" s="138"/>
      <c r="B107" s="152" t="s">
        <v>104</v>
      </c>
      <c r="C107" s="144"/>
      <c r="D107" s="127"/>
      <c r="E107" s="1096">
        <f>SUM(E95:F103)</f>
        <v>2926622.1725673778</v>
      </c>
      <c r="F107" s="1096"/>
      <c r="G107" s="154"/>
      <c r="H107" s="1096"/>
      <c r="I107" s="1096"/>
      <c r="J107" s="1088">
        <f>SUM(J95:K106)</f>
        <v>1697928.4971407403</v>
      </c>
      <c r="K107" s="1088"/>
      <c r="L107" s="1089">
        <f t="shared" ref="L107" si="12">H107+J107</f>
        <v>1697928.4971407403</v>
      </c>
      <c r="M107" s="1089"/>
    </row>
    <row r="108" spans="1:13">
      <c r="A108" s="138"/>
      <c r="B108" s="10"/>
      <c r="C108" s="155"/>
      <c r="D108" s="156"/>
      <c r="E108" s="1094"/>
      <c r="F108" s="1094"/>
      <c r="G108" s="141"/>
      <c r="H108" s="1095"/>
      <c r="I108" s="1095"/>
      <c r="J108" s="1095"/>
      <c r="K108" s="1095"/>
      <c r="L108" s="1094"/>
      <c r="M108" s="1094"/>
    </row>
    <row r="109" spans="1:13">
      <c r="A109" s="138"/>
      <c r="B109" s="157" t="s">
        <v>105</v>
      </c>
      <c r="C109" s="158"/>
      <c r="D109" s="159"/>
      <c r="E109" s="1096">
        <f>E91+E107</f>
        <v>16290193.736801978</v>
      </c>
      <c r="F109" s="1096"/>
      <c r="G109" s="160"/>
      <c r="H109" s="1096"/>
      <c r="I109" s="1096"/>
      <c r="J109" s="1088">
        <f>J107+J91</f>
        <v>9451026.6576007418</v>
      </c>
      <c r="K109" s="1088"/>
      <c r="L109" s="1089">
        <f t="shared" ref="L109" si="13">H109+J109</f>
        <v>9451026.6576007418</v>
      </c>
      <c r="M109" s="1089"/>
    </row>
    <row r="110" spans="1:13">
      <c r="A110" s="7"/>
      <c r="B110" s="161" t="s">
        <v>106</v>
      </c>
      <c r="C110" s="144"/>
      <c r="E110" s="136"/>
      <c r="F110" s="136"/>
      <c r="G110" s="136"/>
      <c r="H110" s="136"/>
      <c r="I110" s="136"/>
      <c r="J110" s="136"/>
      <c r="K110" s="136"/>
      <c r="L110" s="136"/>
      <c r="M110" s="136"/>
    </row>
    <row r="111" spans="1:13">
      <c r="A111" s="7"/>
      <c r="B111" s="10"/>
      <c r="C111" s="7"/>
      <c r="D111" s="144"/>
      <c r="E111" s="136"/>
      <c r="F111" s="97"/>
      <c r="G111" s="136"/>
      <c r="H111" s="1097"/>
      <c r="I111" s="1097"/>
      <c r="J111" s="1097"/>
      <c r="K111" s="1097"/>
      <c r="L111" s="1097"/>
      <c r="M111" s="1097"/>
    </row>
    <row r="112" spans="1:13">
      <c r="A112" s="7"/>
      <c r="B112" s="9"/>
      <c r="C112" s="159"/>
      <c r="D112" s="139"/>
      <c r="E112" s="136"/>
      <c r="F112" s="136"/>
      <c r="G112" s="136"/>
      <c r="H112" s="1097"/>
      <c r="I112" s="1097"/>
      <c r="J112" s="1097"/>
      <c r="K112" s="1097"/>
      <c r="L112" s="1097"/>
      <c r="M112" s="1097"/>
    </row>
    <row r="113" spans="1:13">
      <c r="A113" s="7"/>
      <c r="B113" s="9" t="s">
        <v>107</v>
      </c>
      <c r="C113" s="159"/>
      <c r="D113" s="163">
        <v>0.2</v>
      </c>
      <c r="E113" s="135"/>
      <c r="F113" s="135"/>
      <c r="G113" s="135"/>
      <c r="H113" s="1091"/>
      <c r="I113" s="1091"/>
      <c r="J113" s="1097">
        <f>J109*D113</f>
        <v>1890205.3315201486</v>
      </c>
      <c r="K113" s="1097"/>
      <c r="L113" s="1089">
        <f t="shared" ref="L113" si="14">H113+J113</f>
        <v>1890205.3315201486</v>
      </c>
      <c r="M113" s="1089"/>
    </row>
    <row r="114" spans="1:13">
      <c r="A114" s="7"/>
      <c r="E114" s="135"/>
      <c r="F114" s="135"/>
      <c r="G114" s="135"/>
      <c r="H114" s="1091"/>
      <c r="I114" s="1091"/>
      <c r="J114" s="1097"/>
      <c r="K114" s="1097"/>
      <c r="L114" s="1097"/>
      <c r="M114" s="1097"/>
    </row>
    <row r="115" spans="1:13">
      <c r="A115" s="7"/>
      <c r="E115" s="135"/>
      <c r="F115" s="135"/>
      <c r="G115" s="135"/>
      <c r="H115" s="164"/>
      <c r="I115" s="136"/>
      <c r="J115" s="135"/>
      <c r="K115" s="150"/>
      <c r="L115" s="150"/>
      <c r="M115" s="150"/>
    </row>
    <row r="116" spans="1:13">
      <c r="A116" s="7"/>
      <c r="B116" s="9" t="s">
        <v>108</v>
      </c>
      <c r="C116" s="159"/>
      <c r="D116" s="159"/>
      <c r="E116" s="135"/>
      <c r="F116" s="135"/>
      <c r="G116" s="135"/>
      <c r="H116" s="1091"/>
      <c r="I116" s="1091"/>
      <c r="J116" s="1098">
        <f>J109-J113</f>
        <v>7560821.3260805933</v>
      </c>
      <c r="K116" s="1098"/>
      <c r="L116" s="1089">
        <f t="shared" ref="L116" si="15">H116+J116</f>
        <v>7560821.3260805933</v>
      </c>
      <c r="M116" s="1089"/>
    </row>
    <row r="117" spans="1:13">
      <c r="A117" s="7"/>
      <c r="B117" s="9"/>
      <c r="C117" s="159"/>
      <c r="D117" s="159"/>
      <c r="E117" s="159"/>
      <c r="F117" s="159"/>
      <c r="G117" s="159"/>
      <c r="H117" s="165"/>
      <c r="I117" s="166"/>
      <c r="J117" s="167"/>
      <c r="K117" s="168"/>
      <c r="L117" s="168"/>
      <c r="M117" s="169"/>
    </row>
    <row r="118" spans="1:13">
      <c r="A118" s="127"/>
      <c r="B118" s="9"/>
      <c r="C118" s="1085" t="s">
        <v>109</v>
      </c>
      <c r="D118" s="1085"/>
      <c r="E118" s="1085"/>
      <c r="F118" s="127"/>
      <c r="G118" s="1085" t="s">
        <v>110</v>
      </c>
      <c r="H118" s="1085"/>
      <c r="I118" s="1085"/>
      <c r="J118" s="127"/>
      <c r="K118" s="1085" t="s">
        <v>111</v>
      </c>
      <c r="L118" s="1085"/>
      <c r="M118" s="127"/>
    </row>
    <row r="119" spans="1:13">
      <c r="A119" s="127"/>
      <c r="B119" s="9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1:13">
      <c r="A120" s="127"/>
      <c r="B120" s="127"/>
      <c r="C120" s="127"/>
      <c r="D120" s="127" t="s">
        <v>112</v>
      </c>
      <c r="E120" s="127"/>
      <c r="F120" s="127"/>
      <c r="G120" s="127"/>
      <c r="H120" s="127" t="s">
        <v>113</v>
      </c>
      <c r="I120" s="127"/>
      <c r="J120" s="127"/>
      <c r="K120" s="143" t="s">
        <v>114</v>
      </c>
      <c r="L120" s="143"/>
    </row>
    <row r="121" spans="1:13">
      <c r="B121" s="127"/>
      <c r="C121" s="127"/>
      <c r="D121" s="127" t="s">
        <v>115</v>
      </c>
      <c r="E121" s="127"/>
      <c r="F121" s="127"/>
      <c r="G121" s="127"/>
      <c r="H121" s="127" t="s">
        <v>116</v>
      </c>
      <c r="I121" s="127"/>
      <c r="J121" s="127"/>
      <c r="K121" s="127" t="s">
        <v>117</v>
      </c>
      <c r="L121" s="127"/>
      <c r="M121" s="159"/>
    </row>
  </sheetData>
  <mergeCells count="87">
    <mergeCell ref="C118:E118"/>
    <mergeCell ref="G118:I118"/>
    <mergeCell ref="K118:L118"/>
    <mergeCell ref="H114:I114"/>
    <mergeCell ref="J114:K114"/>
    <mergeCell ref="L114:M114"/>
    <mergeCell ref="H116:I116"/>
    <mergeCell ref="J116:K116"/>
    <mergeCell ref="L116:M116"/>
    <mergeCell ref="H112:I112"/>
    <mergeCell ref="J112:K112"/>
    <mergeCell ref="L112:M112"/>
    <mergeCell ref="H113:I113"/>
    <mergeCell ref="J113:K113"/>
    <mergeCell ref="L113:M113"/>
    <mergeCell ref="E109:F109"/>
    <mergeCell ref="H109:I109"/>
    <mergeCell ref="J109:K109"/>
    <mergeCell ref="L109:M109"/>
    <mergeCell ref="H111:I111"/>
    <mergeCell ref="J111:K111"/>
    <mergeCell ref="L111:M111"/>
    <mergeCell ref="E108:F108"/>
    <mergeCell ref="H108:I108"/>
    <mergeCell ref="J108:K108"/>
    <mergeCell ref="L108:M108"/>
    <mergeCell ref="E102:F102"/>
    <mergeCell ref="E103:F103"/>
    <mergeCell ref="H103:I103"/>
    <mergeCell ref="J103:K103"/>
    <mergeCell ref="L103:M103"/>
    <mergeCell ref="E104:F104"/>
    <mergeCell ref="E105:F105"/>
    <mergeCell ref="E107:F107"/>
    <mergeCell ref="H107:I107"/>
    <mergeCell ref="J107:K107"/>
    <mergeCell ref="L107:M107"/>
    <mergeCell ref="E100:F100"/>
    <mergeCell ref="H100:I100"/>
    <mergeCell ref="J100:K100"/>
    <mergeCell ref="L100:M100"/>
    <mergeCell ref="E101:F101"/>
    <mergeCell ref="H101:I101"/>
    <mergeCell ref="J101:K101"/>
    <mergeCell ref="L101:M101"/>
    <mergeCell ref="E98:F98"/>
    <mergeCell ref="H98:I98"/>
    <mergeCell ref="J98:K98"/>
    <mergeCell ref="L98:M98"/>
    <mergeCell ref="E99:F99"/>
    <mergeCell ref="H99:I99"/>
    <mergeCell ref="J99:K99"/>
    <mergeCell ref="L99:M99"/>
    <mergeCell ref="E96:F96"/>
    <mergeCell ref="H96:I96"/>
    <mergeCell ref="J96:K96"/>
    <mergeCell ref="L96:M96"/>
    <mergeCell ref="E97:F97"/>
    <mergeCell ref="H97:I97"/>
    <mergeCell ref="J97:K97"/>
    <mergeCell ref="L97:M97"/>
    <mergeCell ref="H92:I92"/>
    <mergeCell ref="E94:F94"/>
    <mergeCell ref="H94:I94"/>
    <mergeCell ref="L94:M94"/>
    <mergeCell ref="E95:F95"/>
    <mergeCell ref="H95:I95"/>
    <mergeCell ref="J95:K95"/>
    <mergeCell ref="L95:M95"/>
    <mergeCell ref="L90:M90"/>
    <mergeCell ref="B91:D91"/>
    <mergeCell ref="E91:F91"/>
    <mergeCell ref="H91:I91"/>
    <mergeCell ref="J91:K91"/>
    <mergeCell ref="L91:M91"/>
    <mergeCell ref="B84:K84"/>
    <mergeCell ref="B85:K85"/>
    <mergeCell ref="C86:I86"/>
    <mergeCell ref="E90:F90"/>
    <mergeCell ref="H90:I90"/>
    <mergeCell ref="J90:K90"/>
    <mergeCell ref="A2:M2"/>
    <mergeCell ref="A3:M3"/>
    <mergeCell ref="C5:I5"/>
    <mergeCell ref="A9:F9"/>
    <mergeCell ref="G9:J9"/>
    <mergeCell ref="K9:M9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E2A5-A73C-4A2D-B3D5-139EC8B85879}">
  <dimension ref="A1:M325"/>
  <sheetViews>
    <sheetView topLeftCell="A281" workbookViewId="0">
      <selection activeCell="L310" sqref="L310:M310"/>
    </sheetView>
  </sheetViews>
  <sheetFormatPr baseColWidth="10" defaultRowHeight="15"/>
  <cols>
    <col min="2" max="2" width="47.7109375" customWidth="1"/>
    <col min="3" max="3" width="10.42578125" bestFit="1" customWidth="1"/>
    <col min="4" max="4" width="10.85546875" customWidth="1"/>
    <col min="6" max="6" width="15.7109375" customWidth="1"/>
    <col min="11" max="11" width="13.28515625" customWidth="1"/>
    <col min="12" max="12" width="13.5703125" customWidth="1"/>
    <col min="13" max="13" width="15" customWidth="1"/>
  </cols>
  <sheetData>
    <row r="1" spans="1:13">
      <c r="A1" s="1085" t="s">
        <v>0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</row>
    <row r="2" spans="1:13">
      <c r="A2" s="1079" t="s">
        <v>1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9" t="s">
        <v>538</v>
      </c>
    </row>
    <row r="4" spans="1:1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7"/>
    </row>
    <row r="5" spans="1:13">
      <c r="A5" s="7"/>
      <c r="B5" s="5" t="s">
        <v>3</v>
      </c>
      <c r="C5" s="10" t="s">
        <v>539</v>
      </c>
      <c r="D5" s="10"/>
      <c r="E5" s="10"/>
      <c r="F5" s="10"/>
      <c r="G5" s="268"/>
      <c r="H5" s="7"/>
      <c r="I5" s="7"/>
      <c r="J5" s="7"/>
      <c r="K5" s="7"/>
      <c r="L5" s="5" t="s">
        <v>5</v>
      </c>
      <c r="M5" s="131">
        <v>16206557.119999999</v>
      </c>
    </row>
    <row r="6" spans="1:13">
      <c r="A6" s="7"/>
      <c r="B6" s="5" t="s">
        <v>7</v>
      </c>
      <c r="C6" s="9">
        <v>3</v>
      </c>
      <c r="D6" s="7"/>
      <c r="E6" s="10"/>
      <c r="F6" s="10"/>
      <c r="G6" s="10"/>
      <c r="H6" s="7"/>
      <c r="I6" s="7"/>
      <c r="J6" s="7"/>
      <c r="K6" s="7"/>
      <c r="L6" s="5" t="s">
        <v>8</v>
      </c>
      <c r="M6" s="131">
        <v>3241311.42</v>
      </c>
    </row>
    <row r="7" spans="1:13">
      <c r="A7" s="7"/>
      <c r="B7" s="5" t="s">
        <v>9</v>
      </c>
      <c r="C7" s="10" t="s">
        <v>534</v>
      </c>
      <c r="D7" s="10"/>
      <c r="E7" s="10"/>
      <c r="F7" s="10"/>
      <c r="G7" s="11"/>
      <c r="H7" s="7"/>
      <c r="I7" s="7"/>
      <c r="J7" s="7"/>
      <c r="K7" s="7"/>
      <c r="L7" s="5" t="s">
        <v>12</v>
      </c>
      <c r="M7" s="132" t="s">
        <v>540</v>
      </c>
    </row>
    <row r="8" spans="1:13">
      <c r="A8" s="7"/>
      <c r="B8" s="5" t="s">
        <v>14</v>
      </c>
      <c r="C8" s="10" t="s">
        <v>541</v>
      </c>
      <c r="D8" s="10"/>
      <c r="E8" s="10"/>
      <c r="F8" s="10"/>
      <c r="G8" s="10"/>
      <c r="H8" s="7"/>
      <c r="I8" s="7"/>
      <c r="J8" s="7"/>
      <c r="K8" s="7"/>
      <c r="L8" s="7"/>
      <c r="M8" s="7"/>
    </row>
    <row r="9" spans="1:13">
      <c r="A9" s="1105" t="s">
        <v>191</v>
      </c>
      <c r="B9" s="1105"/>
      <c r="C9" s="1105"/>
      <c r="D9" s="1105"/>
      <c r="E9" s="1105"/>
      <c r="F9" s="1105"/>
      <c r="G9" s="1083" t="s">
        <v>17</v>
      </c>
      <c r="H9" s="1083"/>
      <c r="I9" s="1083"/>
      <c r="J9" s="1083"/>
      <c r="K9" s="1084" t="s">
        <v>18</v>
      </c>
      <c r="L9" s="1084"/>
      <c r="M9" s="1084"/>
    </row>
    <row r="10" spans="1:13" ht="15.75" thickBot="1">
      <c r="A10" s="926" t="s">
        <v>19</v>
      </c>
      <c r="B10" s="927" t="s">
        <v>20</v>
      </c>
      <c r="C10" s="927" t="s">
        <v>21</v>
      </c>
      <c r="D10" s="927" t="s">
        <v>90</v>
      </c>
      <c r="E10" s="928" t="s">
        <v>23</v>
      </c>
      <c r="F10" s="929" t="s">
        <v>24</v>
      </c>
      <c r="G10" s="930" t="s">
        <v>25</v>
      </c>
      <c r="H10" s="931" t="s">
        <v>26</v>
      </c>
      <c r="I10" s="932" t="s">
        <v>27</v>
      </c>
      <c r="J10" s="933" t="s">
        <v>28</v>
      </c>
      <c r="K10" s="934" t="s">
        <v>25</v>
      </c>
      <c r="L10" s="935" t="s">
        <v>26</v>
      </c>
      <c r="M10" s="936" t="s">
        <v>27</v>
      </c>
    </row>
    <row r="11" spans="1:13">
      <c r="A11" s="937">
        <v>1</v>
      </c>
      <c r="B11" s="23" t="s">
        <v>75</v>
      </c>
      <c r="C11" s="24"/>
      <c r="D11" s="34"/>
      <c r="E11" s="938"/>
      <c r="F11" s="938"/>
      <c r="G11" s="939"/>
      <c r="H11" s="939"/>
      <c r="I11" s="28"/>
      <c r="J11" s="29"/>
      <c r="K11" s="30"/>
      <c r="L11" s="940"/>
      <c r="M11" s="941"/>
    </row>
    <row r="12" spans="1:13">
      <c r="A12" s="942">
        <v>1.01</v>
      </c>
      <c r="B12" s="24" t="s">
        <v>542</v>
      </c>
      <c r="C12" s="34" t="s">
        <v>543</v>
      </c>
      <c r="D12" s="938">
        <v>3</v>
      </c>
      <c r="E12" s="938">
        <v>98000</v>
      </c>
      <c r="F12" s="943">
        <f>D12*E12</f>
        <v>294000</v>
      </c>
      <c r="G12" s="944">
        <v>3</v>
      </c>
      <c r="H12" s="945"/>
      <c r="I12" s="38">
        <f>G12+H12</f>
        <v>3</v>
      </c>
      <c r="J12" s="460">
        <f>I12/D12</f>
        <v>1</v>
      </c>
      <c r="K12" s="946">
        <f>G12*E12</f>
        <v>294000</v>
      </c>
      <c r="L12" s="947"/>
      <c r="M12" s="941">
        <f>K12+L12</f>
        <v>294000</v>
      </c>
    </row>
    <row r="13" spans="1:13">
      <c r="A13" s="942">
        <v>1.02</v>
      </c>
      <c r="B13" s="24" t="s">
        <v>544</v>
      </c>
      <c r="C13" s="34" t="s">
        <v>545</v>
      </c>
      <c r="D13" s="938">
        <v>1.18</v>
      </c>
      <c r="E13" s="938">
        <v>40000</v>
      </c>
      <c r="F13" s="943">
        <f t="shared" ref="F13:F76" si="0">D13*E13</f>
        <v>47200</v>
      </c>
      <c r="G13" s="944">
        <v>1.18</v>
      </c>
      <c r="H13" s="945"/>
      <c r="I13" s="38">
        <f>G13+H13</f>
        <v>1.18</v>
      </c>
      <c r="J13" s="460">
        <f>I13/D13</f>
        <v>1</v>
      </c>
      <c r="K13" s="946">
        <f>G13*E13</f>
        <v>47200</v>
      </c>
      <c r="L13" s="947"/>
      <c r="M13" s="941">
        <f>K13+L13</f>
        <v>47200</v>
      </c>
    </row>
    <row r="14" spans="1:13">
      <c r="A14" s="942">
        <v>1.03</v>
      </c>
      <c r="B14" s="24" t="s">
        <v>546</v>
      </c>
      <c r="C14" s="34" t="s">
        <v>55</v>
      </c>
      <c r="D14" s="938">
        <v>1</v>
      </c>
      <c r="E14" s="938">
        <v>43000</v>
      </c>
      <c r="F14" s="943">
        <f t="shared" si="0"/>
        <v>43000</v>
      </c>
      <c r="G14" s="944">
        <v>1</v>
      </c>
      <c r="H14" s="945"/>
      <c r="I14" s="38">
        <f>G14+H14</f>
        <v>1</v>
      </c>
      <c r="J14" s="460">
        <f>I14/D14</f>
        <v>1</v>
      </c>
      <c r="K14" s="946">
        <f>G14*E14</f>
        <v>43000</v>
      </c>
      <c r="L14" s="947"/>
      <c r="M14" s="941">
        <f>K14+L14</f>
        <v>43000</v>
      </c>
    </row>
    <row r="15" spans="1:13">
      <c r="A15" s="948"/>
      <c r="B15" s="949" t="s">
        <v>39</v>
      </c>
      <c r="C15" s="950"/>
      <c r="D15" s="951"/>
      <c r="E15" s="951"/>
      <c r="F15" s="952">
        <f>SUM(F12:F14)</f>
        <v>384200</v>
      </c>
      <c r="G15" s="953"/>
      <c r="H15" s="954"/>
      <c r="I15" s="955"/>
      <c r="J15" s="956"/>
      <c r="K15" s="957">
        <f>SUM(K12:K14)</f>
        <v>384200</v>
      </c>
      <c r="L15" s="958">
        <f>SUM(L12:L14)</f>
        <v>0</v>
      </c>
      <c r="M15" s="959">
        <f t="shared" ref="M15:M23" si="1">K15+L15</f>
        <v>384200</v>
      </c>
    </row>
    <row r="16" spans="1:13">
      <c r="A16" s="948"/>
      <c r="B16" s="23" t="s">
        <v>547</v>
      </c>
      <c r="C16" s="34"/>
      <c r="D16" s="938"/>
      <c r="E16" s="938"/>
      <c r="F16" s="943"/>
      <c r="G16" s="953"/>
      <c r="H16" s="944"/>
      <c r="I16" s="955"/>
      <c r="J16" s="956"/>
      <c r="K16" s="946"/>
      <c r="L16" s="947"/>
      <c r="M16" s="941"/>
    </row>
    <row r="17" spans="1:13">
      <c r="A17" s="942">
        <v>2</v>
      </c>
      <c r="B17" s="24" t="s">
        <v>548</v>
      </c>
      <c r="C17" s="34" t="s">
        <v>288</v>
      </c>
      <c r="D17" s="938">
        <v>16</v>
      </c>
      <c r="E17" s="938">
        <v>1850</v>
      </c>
      <c r="F17" s="943">
        <f t="shared" si="0"/>
        <v>29600</v>
      </c>
      <c r="G17" s="939">
        <v>8</v>
      </c>
      <c r="H17" s="944"/>
      <c r="I17" s="38">
        <f t="shared" ref="I17:I22" si="2">G17+H17</f>
        <v>8</v>
      </c>
      <c r="J17" s="460">
        <f t="shared" ref="J17:J22" si="3">I17/D17</f>
        <v>0.5</v>
      </c>
      <c r="K17" s="946">
        <f t="shared" ref="K17:K22" si="4">G17*E17</f>
        <v>14800</v>
      </c>
      <c r="L17" s="947"/>
      <c r="M17" s="941">
        <f t="shared" si="1"/>
        <v>14800</v>
      </c>
    </row>
    <row r="18" spans="1:13">
      <c r="A18" s="942">
        <v>2.0099999999999998</v>
      </c>
      <c r="B18" s="960" t="s">
        <v>47</v>
      </c>
      <c r="C18" s="961" t="s">
        <v>45</v>
      </c>
      <c r="D18" s="962">
        <v>45</v>
      </c>
      <c r="E18" s="962">
        <v>255</v>
      </c>
      <c r="F18" s="943">
        <f t="shared" si="0"/>
        <v>11475</v>
      </c>
      <c r="G18" s="963">
        <v>22.5</v>
      </c>
      <c r="H18" s="944"/>
      <c r="I18" s="38">
        <f t="shared" si="2"/>
        <v>22.5</v>
      </c>
      <c r="J18" s="460">
        <f t="shared" si="3"/>
        <v>0.5</v>
      </c>
      <c r="K18" s="946">
        <f t="shared" si="4"/>
        <v>5737.5</v>
      </c>
      <c r="L18" s="947"/>
      <c r="M18" s="941">
        <f t="shared" si="1"/>
        <v>5737.5</v>
      </c>
    </row>
    <row r="19" spans="1:13">
      <c r="A19" s="964">
        <v>2.02</v>
      </c>
      <c r="B19" s="24" t="s">
        <v>549</v>
      </c>
      <c r="C19" s="34" t="s">
        <v>32</v>
      </c>
      <c r="D19" s="938">
        <v>3</v>
      </c>
      <c r="E19" s="938">
        <v>33055.339999999997</v>
      </c>
      <c r="F19" s="943">
        <f t="shared" si="0"/>
        <v>99166.01999999999</v>
      </c>
      <c r="G19" s="963">
        <v>1.5</v>
      </c>
      <c r="H19" s="944"/>
      <c r="I19" s="38">
        <f t="shared" si="2"/>
        <v>1.5</v>
      </c>
      <c r="J19" s="460">
        <f t="shared" si="3"/>
        <v>0.5</v>
      </c>
      <c r="K19" s="946">
        <f t="shared" si="4"/>
        <v>49583.009999999995</v>
      </c>
      <c r="L19" s="947"/>
      <c r="M19" s="941">
        <f t="shared" si="1"/>
        <v>49583.009999999995</v>
      </c>
    </row>
    <row r="20" spans="1:13">
      <c r="A20" s="32">
        <v>2.0299999999999998</v>
      </c>
      <c r="B20" s="965" t="s">
        <v>550</v>
      </c>
      <c r="C20" s="34" t="s">
        <v>32</v>
      </c>
      <c r="D20" s="938">
        <v>8</v>
      </c>
      <c r="E20" s="938">
        <v>9942.09</v>
      </c>
      <c r="F20" s="943">
        <f t="shared" si="0"/>
        <v>79536.72</v>
      </c>
      <c r="G20" s="966">
        <v>4</v>
      </c>
      <c r="H20" s="944"/>
      <c r="I20" s="38">
        <f t="shared" si="2"/>
        <v>4</v>
      </c>
      <c r="J20" s="460">
        <f t="shared" si="3"/>
        <v>0.5</v>
      </c>
      <c r="K20" s="946">
        <f t="shared" si="4"/>
        <v>39768.36</v>
      </c>
      <c r="L20" s="947"/>
      <c r="M20" s="941">
        <f t="shared" si="1"/>
        <v>39768.36</v>
      </c>
    </row>
    <row r="21" spans="1:13">
      <c r="A21" s="53">
        <v>2.04</v>
      </c>
      <c r="B21" s="24" t="s">
        <v>551</v>
      </c>
      <c r="C21" s="34" t="s">
        <v>55</v>
      </c>
      <c r="D21" s="938">
        <v>1</v>
      </c>
      <c r="E21" s="938">
        <v>80000</v>
      </c>
      <c r="F21" s="943">
        <f t="shared" si="0"/>
        <v>80000</v>
      </c>
      <c r="G21" s="963">
        <v>0.5</v>
      </c>
      <c r="H21" s="944"/>
      <c r="I21" s="38">
        <f t="shared" si="2"/>
        <v>0.5</v>
      </c>
      <c r="J21" s="460">
        <f t="shared" si="3"/>
        <v>0.5</v>
      </c>
      <c r="K21" s="946">
        <f t="shared" si="4"/>
        <v>40000</v>
      </c>
      <c r="L21" s="947"/>
      <c r="M21" s="941">
        <f t="shared" si="1"/>
        <v>40000</v>
      </c>
    </row>
    <row r="22" spans="1:13">
      <c r="A22" s="32">
        <v>2.0499999999999998</v>
      </c>
      <c r="B22" s="24" t="s">
        <v>552</v>
      </c>
      <c r="C22" s="34" t="s">
        <v>55</v>
      </c>
      <c r="D22" s="938">
        <v>1</v>
      </c>
      <c r="E22" s="938">
        <v>16500</v>
      </c>
      <c r="F22" s="943">
        <f t="shared" si="0"/>
        <v>16500</v>
      </c>
      <c r="G22" s="966">
        <v>0.5</v>
      </c>
      <c r="H22" s="944"/>
      <c r="I22" s="38">
        <f t="shared" si="2"/>
        <v>0.5</v>
      </c>
      <c r="J22" s="460">
        <f t="shared" si="3"/>
        <v>0.5</v>
      </c>
      <c r="K22" s="946">
        <f t="shared" si="4"/>
        <v>8250</v>
      </c>
      <c r="L22" s="947"/>
      <c r="M22" s="941">
        <f t="shared" si="1"/>
        <v>8250</v>
      </c>
    </row>
    <row r="23" spans="1:13">
      <c r="A23" s="32">
        <v>2.06</v>
      </c>
      <c r="B23" s="887" t="s">
        <v>553</v>
      </c>
      <c r="C23" s="34"/>
      <c r="D23" s="938"/>
      <c r="E23" s="938"/>
      <c r="F23" s="952">
        <f>SUM(F17:F22)</f>
        <v>316277.74</v>
      </c>
      <c r="G23" s="939"/>
      <c r="H23" s="944"/>
      <c r="I23" s="967"/>
      <c r="J23" s="968"/>
      <c r="K23" s="969">
        <f>SUM(K17:K22)</f>
        <v>158138.87</v>
      </c>
      <c r="L23" s="970"/>
      <c r="M23" s="959">
        <f t="shared" si="1"/>
        <v>158138.87</v>
      </c>
    </row>
    <row r="24" spans="1:13">
      <c r="A24" s="942">
        <v>3</v>
      </c>
      <c r="B24" s="887" t="s">
        <v>554</v>
      </c>
      <c r="C24" s="34"/>
      <c r="D24" s="938"/>
      <c r="E24" s="938"/>
      <c r="F24" s="943"/>
      <c r="G24" s="939"/>
      <c r="H24" s="944"/>
      <c r="I24" s="967"/>
      <c r="J24" s="968"/>
      <c r="K24" s="30"/>
      <c r="L24" s="947"/>
      <c r="M24" s="941"/>
    </row>
    <row r="25" spans="1:13">
      <c r="A25" s="971">
        <v>3.01</v>
      </c>
      <c r="B25" s="972" t="s">
        <v>555</v>
      </c>
      <c r="C25" s="34" t="s">
        <v>55</v>
      </c>
      <c r="D25" s="938">
        <v>1</v>
      </c>
      <c r="E25" s="938">
        <v>575000</v>
      </c>
      <c r="F25" s="943">
        <f t="shared" si="0"/>
        <v>575000</v>
      </c>
      <c r="G25" s="939">
        <v>0.5</v>
      </c>
      <c r="H25" s="944"/>
      <c r="I25" s="38">
        <f>G25+H25</f>
        <v>0.5</v>
      </c>
      <c r="J25" s="460">
        <f>I25/D25</f>
        <v>0.5</v>
      </c>
      <c r="K25" s="946">
        <f>G25*E25</f>
        <v>287500</v>
      </c>
      <c r="L25" s="947"/>
      <c r="M25" s="941">
        <f>K25+L25</f>
        <v>287500</v>
      </c>
    </row>
    <row r="26" spans="1:13">
      <c r="A26" s="942"/>
      <c r="B26" s="887" t="s">
        <v>556</v>
      </c>
      <c r="C26" s="34"/>
      <c r="D26" s="938"/>
      <c r="E26" s="938"/>
      <c r="F26" s="952">
        <f>F25</f>
        <v>575000</v>
      </c>
      <c r="G26" s="939"/>
      <c r="H26" s="944"/>
      <c r="I26" s="967"/>
      <c r="J26" s="968"/>
      <c r="K26" s="969">
        <f>SUM(K25)</f>
        <v>287500</v>
      </c>
      <c r="L26" s="970"/>
      <c r="M26" s="959">
        <f>K26+L26</f>
        <v>287500</v>
      </c>
    </row>
    <row r="27" spans="1:13">
      <c r="A27" s="942">
        <v>4</v>
      </c>
      <c r="B27" s="887" t="s">
        <v>557</v>
      </c>
      <c r="C27" s="34"/>
      <c r="D27" s="938"/>
      <c r="E27" s="938"/>
      <c r="F27" s="943"/>
      <c r="G27" s="939"/>
      <c r="H27" s="944"/>
      <c r="I27" s="967"/>
      <c r="J27" s="968"/>
      <c r="K27" s="30"/>
      <c r="L27" s="947"/>
      <c r="M27" s="941"/>
    </row>
    <row r="28" spans="1:13">
      <c r="A28" s="971">
        <v>4.01</v>
      </c>
      <c r="B28" s="972" t="s">
        <v>395</v>
      </c>
      <c r="C28" s="34" t="s">
        <v>55</v>
      </c>
      <c r="D28" s="938">
        <v>1</v>
      </c>
      <c r="E28" s="938">
        <v>8500</v>
      </c>
      <c r="F28" s="943">
        <f t="shared" si="0"/>
        <v>8500</v>
      </c>
      <c r="G28" s="939">
        <v>1</v>
      </c>
      <c r="H28" s="944"/>
      <c r="I28" s="38">
        <f>G28+H28</f>
        <v>1</v>
      </c>
      <c r="J28" s="460">
        <f>I28/D28</f>
        <v>1</v>
      </c>
      <c r="K28" s="946">
        <f>G28*E28</f>
        <v>8500</v>
      </c>
      <c r="L28" s="947"/>
      <c r="M28" s="941">
        <f t="shared" ref="M28:M41" si="5">K28+L28</f>
        <v>8500</v>
      </c>
    </row>
    <row r="29" spans="1:13">
      <c r="A29" s="942">
        <v>4.0199999999999996</v>
      </c>
      <c r="B29" s="972" t="s">
        <v>558</v>
      </c>
      <c r="C29" s="34" t="s">
        <v>45</v>
      </c>
      <c r="D29" s="938">
        <v>2.52</v>
      </c>
      <c r="E29" s="938">
        <v>5850</v>
      </c>
      <c r="F29" s="943">
        <f t="shared" si="0"/>
        <v>14742</v>
      </c>
      <c r="G29" s="939">
        <v>2.52</v>
      </c>
      <c r="H29" s="944"/>
      <c r="I29" s="38">
        <f t="shared" ref="I29:I36" si="6">G29+H29</f>
        <v>2.52</v>
      </c>
      <c r="J29" s="460">
        <f t="shared" ref="J29:J36" si="7">I29/D29</f>
        <v>1</v>
      </c>
      <c r="K29" s="946">
        <f t="shared" ref="K29:K40" si="8">G29*E29</f>
        <v>14742</v>
      </c>
      <c r="L29" s="947"/>
      <c r="M29" s="941">
        <f t="shared" si="5"/>
        <v>14742</v>
      </c>
    </row>
    <row r="30" spans="1:13">
      <c r="A30" s="942">
        <v>4.03</v>
      </c>
      <c r="B30" s="972" t="s">
        <v>559</v>
      </c>
      <c r="C30" s="34" t="s">
        <v>45</v>
      </c>
      <c r="D30" s="938">
        <v>0.53</v>
      </c>
      <c r="E30" s="938">
        <v>7388.07</v>
      </c>
      <c r="F30" s="943">
        <f t="shared" si="0"/>
        <v>3915.6770999999999</v>
      </c>
      <c r="G30" s="939">
        <v>0.53</v>
      </c>
      <c r="H30" s="944"/>
      <c r="I30" s="38">
        <f t="shared" si="6"/>
        <v>0.53</v>
      </c>
      <c r="J30" s="460">
        <f t="shared" si="7"/>
        <v>1</v>
      </c>
      <c r="K30" s="946">
        <f t="shared" si="8"/>
        <v>3915.6770999999999</v>
      </c>
      <c r="L30" s="947"/>
      <c r="M30" s="941">
        <f t="shared" si="5"/>
        <v>3915.6770999999999</v>
      </c>
    </row>
    <row r="31" spans="1:13">
      <c r="A31" s="942">
        <v>4.04</v>
      </c>
      <c r="B31" s="888" t="s">
        <v>560</v>
      </c>
      <c r="C31" s="34" t="s">
        <v>222</v>
      </c>
      <c r="D31" s="938">
        <v>28.45</v>
      </c>
      <c r="E31" s="938">
        <v>40</v>
      </c>
      <c r="F31" s="943">
        <f t="shared" si="0"/>
        <v>1138</v>
      </c>
      <c r="G31" s="939">
        <v>28.45</v>
      </c>
      <c r="H31" s="944"/>
      <c r="I31" s="38">
        <f t="shared" si="6"/>
        <v>28.45</v>
      </c>
      <c r="J31" s="460">
        <f t="shared" si="7"/>
        <v>1</v>
      </c>
      <c r="K31" s="946">
        <f t="shared" si="8"/>
        <v>1138</v>
      </c>
      <c r="L31" s="947"/>
      <c r="M31" s="941">
        <f t="shared" si="5"/>
        <v>1138</v>
      </c>
    </row>
    <row r="32" spans="1:13">
      <c r="A32" s="942">
        <v>4.05</v>
      </c>
      <c r="B32" s="888" t="s">
        <v>561</v>
      </c>
      <c r="C32" s="34" t="s">
        <v>45</v>
      </c>
      <c r="D32" s="938">
        <v>0.34</v>
      </c>
      <c r="E32" s="938">
        <v>9108.7000000000007</v>
      </c>
      <c r="F32" s="943">
        <f t="shared" si="0"/>
        <v>3096.9580000000005</v>
      </c>
      <c r="G32" s="939">
        <v>0.34</v>
      </c>
      <c r="H32" s="944"/>
      <c r="I32" s="38">
        <f t="shared" si="6"/>
        <v>0.34</v>
      </c>
      <c r="J32" s="460">
        <f t="shared" si="7"/>
        <v>1</v>
      </c>
      <c r="K32" s="946">
        <f t="shared" si="8"/>
        <v>3096.9580000000005</v>
      </c>
      <c r="L32" s="947"/>
      <c r="M32" s="941">
        <f t="shared" si="5"/>
        <v>3096.9580000000005</v>
      </c>
    </row>
    <row r="33" spans="1:13">
      <c r="A33" s="942">
        <v>4.0599999999999996</v>
      </c>
      <c r="B33" s="888" t="s">
        <v>562</v>
      </c>
      <c r="C33" s="34" t="s">
        <v>222</v>
      </c>
      <c r="D33" s="938">
        <v>176.92</v>
      </c>
      <c r="E33" s="938">
        <v>55.11</v>
      </c>
      <c r="F33" s="943">
        <f t="shared" si="0"/>
        <v>9750.0612000000001</v>
      </c>
      <c r="G33" s="939">
        <v>176.92</v>
      </c>
      <c r="H33" s="944"/>
      <c r="I33" s="38">
        <f t="shared" si="6"/>
        <v>176.92</v>
      </c>
      <c r="J33" s="460">
        <f t="shared" si="7"/>
        <v>1</v>
      </c>
      <c r="K33" s="946">
        <f t="shared" si="8"/>
        <v>9750.0612000000001</v>
      </c>
      <c r="L33" s="947"/>
      <c r="M33" s="941">
        <f t="shared" si="5"/>
        <v>9750.0612000000001</v>
      </c>
    </row>
    <row r="34" spans="1:13">
      <c r="A34" s="942">
        <v>4.07</v>
      </c>
      <c r="B34" s="888" t="s">
        <v>563</v>
      </c>
      <c r="C34" s="34" t="s">
        <v>222</v>
      </c>
      <c r="D34" s="938">
        <v>176.92</v>
      </c>
      <c r="E34" s="938">
        <v>338.43</v>
      </c>
      <c r="F34" s="943">
        <f t="shared" si="0"/>
        <v>59875.035599999996</v>
      </c>
      <c r="G34" s="939">
        <v>176.92</v>
      </c>
      <c r="H34" s="944"/>
      <c r="I34" s="38">
        <f t="shared" si="6"/>
        <v>176.92</v>
      </c>
      <c r="J34" s="460">
        <f t="shared" si="7"/>
        <v>1</v>
      </c>
      <c r="K34" s="946">
        <f t="shared" si="8"/>
        <v>59875.035599999996</v>
      </c>
      <c r="L34" s="947"/>
      <c r="M34" s="941">
        <f t="shared" si="5"/>
        <v>59875.035599999996</v>
      </c>
    </row>
    <row r="35" spans="1:13">
      <c r="A35" s="942">
        <v>4.08</v>
      </c>
      <c r="B35" s="888" t="s">
        <v>564</v>
      </c>
      <c r="C35" s="34" t="s">
        <v>222</v>
      </c>
      <c r="D35" s="938">
        <v>28.45</v>
      </c>
      <c r="E35" s="938">
        <v>552</v>
      </c>
      <c r="F35" s="943">
        <f t="shared" si="0"/>
        <v>15704.4</v>
      </c>
      <c r="G35" s="939">
        <v>28.45</v>
      </c>
      <c r="H35" s="944"/>
      <c r="I35" s="38">
        <f t="shared" si="6"/>
        <v>28.45</v>
      </c>
      <c r="J35" s="460">
        <f t="shared" si="7"/>
        <v>1</v>
      </c>
      <c r="K35" s="946">
        <f t="shared" si="8"/>
        <v>15704.4</v>
      </c>
      <c r="L35" s="947"/>
      <c r="M35" s="941">
        <f t="shared" si="5"/>
        <v>15704.4</v>
      </c>
    </row>
    <row r="36" spans="1:13">
      <c r="A36" s="942">
        <v>4.09</v>
      </c>
      <c r="B36" s="888" t="s">
        <v>565</v>
      </c>
      <c r="C36" s="34" t="s">
        <v>222</v>
      </c>
      <c r="D36" s="938">
        <v>176.92</v>
      </c>
      <c r="E36" s="938">
        <v>296.88</v>
      </c>
      <c r="F36" s="943">
        <f t="shared" si="0"/>
        <v>52524.009599999998</v>
      </c>
      <c r="G36" s="939">
        <v>176.92</v>
      </c>
      <c r="H36" s="944"/>
      <c r="I36" s="38">
        <f t="shared" si="6"/>
        <v>176.92</v>
      </c>
      <c r="J36" s="460">
        <f t="shared" si="7"/>
        <v>1</v>
      </c>
      <c r="K36" s="946">
        <f t="shared" si="8"/>
        <v>52524.009599999998</v>
      </c>
      <c r="L36" s="947"/>
      <c r="M36" s="941">
        <f t="shared" si="5"/>
        <v>52524.009599999998</v>
      </c>
    </row>
    <row r="37" spans="1:13">
      <c r="A37" s="942">
        <v>4.0999999999999996</v>
      </c>
      <c r="B37" s="888" t="s">
        <v>566</v>
      </c>
      <c r="C37" s="34" t="s">
        <v>32</v>
      </c>
      <c r="D37" s="938">
        <v>4</v>
      </c>
      <c r="E37" s="938">
        <v>4600</v>
      </c>
      <c r="F37" s="943">
        <f t="shared" si="0"/>
        <v>18400</v>
      </c>
      <c r="G37" s="939">
        <v>4</v>
      </c>
      <c r="H37" s="944"/>
      <c r="I37" s="38">
        <f>G37+H37</f>
        <v>4</v>
      </c>
      <c r="J37" s="460">
        <f>I37/D37</f>
        <v>1</v>
      </c>
      <c r="K37" s="946">
        <f t="shared" si="8"/>
        <v>18400</v>
      </c>
      <c r="L37" s="947"/>
      <c r="M37" s="941">
        <f t="shared" si="5"/>
        <v>18400</v>
      </c>
    </row>
    <row r="38" spans="1:13">
      <c r="A38" s="942">
        <v>4.1100000000000003</v>
      </c>
      <c r="B38" s="888" t="s">
        <v>567</v>
      </c>
      <c r="C38" s="34" t="s">
        <v>32</v>
      </c>
      <c r="D38" s="938">
        <v>2</v>
      </c>
      <c r="E38" s="938">
        <v>18500</v>
      </c>
      <c r="F38" s="943">
        <f t="shared" si="0"/>
        <v>37000</v>
      </c>
      <c r="G38" s="939">
        <v>2</v>
      </c>
      <c r="H38" s="944"/>
      <c r="I38" s="38">
        <f>G38+H38</f>
        <v>2</v>
      </c>
      <c r="J38" s="460">
        <f>I38/D38</f>
        <v>1</v>
      </c>
      <c r="K38" s="946">
        <f t="shared" si="8"/>
        <v>37000</v>
      </c>
      <c r="L38" s="947"/>
      <c r="M38" s="941">
        <f t="shared" si="5"/>
        <v>37000</v>
      </c>
    </row>
    <row r="39" spans="1:13">
      <c r="A39" s="942">
        <v>4.12</v>
      </c>
      <c r="B39" s="888" t="s">
        <v>568</v>
      </c>
      <c r="C39" s="34" t="s">
        <v>55</v>
      </c>
      <c r="D39" s="938">
        <v>1</v>
      </c>
      <c r="E39" s="938">
        <v>8500</v>
      </c>
      <c r="F39" s="943">
        <f t="shared" si="0"/>
        <v>8500</v>
      </c>
      <c r="G39" s="939">
        <v>1</v>
      </c>
      <c r="H39" s="944"/>
      <c r="I39" s="38">
        <f>G39+H39</f>
        <v>1</v>
      </c>
      <c r="J39" s="460">
        <f>I39/D39</f>
        <v>1</v>
      </c>
      <c r="K39" s="946">
        <f t="shared" si="8"/>
        <v>8500</v>
      </c>
      <c r="L39" s="947"/>
      <c r="M39" s="941">
        <f t="shared" si="5"/>
        <v>8500</v>
      </c>
    </row>
    <row r="40" spans="1:13">
      <c r="A40" s="942">
        <v>4.13</v>
      </c>
      <c r="B40" s="888" t="s">
        <v>569</v>
      </c>
      <c r="C40" s="34" t="s">
        <v>32</v>
      </c>
      <c r="D40" s="938">
        <v>2</v>
      </c>
      <c r="E40" s="938">
        <v>38350</v>
      </c>
      <c r="F40" s="943">
        <f t="shared" si="0"/>
        <v>76700</v>
      </c>
      <c r="G40" s="939">
        <v>2</v>
      </c>
      <c r="H40" s="944"/>
      <c r="I40" s="38">
        <f>G40+H40</f>
        <v>2</v>
      </c>
      <c r="J40" s="460">
        <f>I40/D40</f>
        <v>1</v>
      </c>
      <c r="K40" s="946">
        <f t="shared" si="8"/>
        <v>76700</v>
      </c>
      <c r="L40" s="947"/>
      <c r="M40" s="941">
        <f t="shared" si="5"/>
        <v>76700</v>
      </c>
    </row>
    <row r="41" spans="1:13">
      <c r="A41" s="942"/>
      <c r="B41" s="887" t="s">
        <v>570</v>
      </c>
      <c r="C41" s="34"/>
      <c r="D41" s="938"/>
      <c r="E41" s="938"/>
      <c r="F41" s="952">
        <f>SUM(F28:F40)</f>
        <v>309846.14149999997</v>
      </c>
      <c r="G41" s="939"/>
      <c r="H41" s="944"/>
      <c r="I41" s="967"/>
      <c r="J41" s="968"/>
      <c r="K41" s="969">
        <f>SUM(K28:K40)</f>
        <v>309846.14149999997</v>
      </c>
      <c r="L41" s="970"/>
      <c r="M41" s="959">
        <f t="shared" si="5"/>
        <v>309846.14149999997</v>
      </c>
    </row>
    <row r="42" spans="1:13">
      <c r="A42" s="942">
        <v>5</v>
      </c>
      <c r="B42" s="887" t="s">
        <v>571</v>
      </c>
      <c r="C42" s="34"/>
      <c r="D42" s="938"/>
      <c r="E42" s="938"/>
      <c r="F42" s="943"/>
      <c r="G42" s="939"/>
      <c r="H42" s="944"/>
      <c r="I42" s="967"/>
      <c r="J42" s="968"/>
      <c r="K42" s="30"/>
      <c r="L42" s="947"/>
      <c r="M42" s="941"/>
    </row>
    <row r="43" spans="1:13">
      <c r="A43" s="942">
        <v>5.01</v>
      </c>
      <c r="B43" s="973" t="s">
        <v>572</v>
      </c>
      <c r="C43" s="60" t="s">
        <v>38</v>
      </c>
      <c r="D43" s="974">
        <v>40</v>
      </c>
      <c r="E43" s="974">
        <v>4500</v>
      </c>
      <c r="F43" s="975">
        <f t="shared" si="0"/>
        <v>180000</v>
      </c>
      <c r="G43" s="939"/>
      <c r="H43" s="944"/>
      <c r="I43" s="967"/>
      <c r="J43" s="968"/>
      <c r="K43" s="30"/>
      <c r="L43" s="947"/>
      <c r="M43" s="941"/>
    </row>
    <row r="44" spans="1:13">
      <c r="A44" s="942">
        <v>5.0199999999999996</v>
      </c>
      <c r="B44" s="973" t="s">
        <v>573</v>
      </c>
      <c r="C44" s="60" t="s">
        <v>32</v>
      </c>
      <c r="D44" s="974">
        <v>1</v>
      </c>
      <c r="E44" s="974">
        <v>425000</v>
      </c>
      <c r="F44" s="975">
        <f t="shared" si="0"/>
        <v>425000</v>
      </c>
      <c r="G44" s="939"/>
      <c r="H44" s="944"/>
      <c r="I44" s="38"/>
      <c r="J44" s="460"/>
      <c r="K44" s="30"/>
      <c r="L44" s="947"/>
      <c r="M44" s="941"/>
    </row>
    <row r="45" spans="1:13">
      <c r="A45" s="942">
        <v>5.03</v>
      </c>
      <c r="B45" s="973" t="s">
        <v>574</v>
      </c>
      <c r="C45" s="60" t="s">
        <v>32</v>
      </c>
      <c r="D45" s="974">
        <v>1</v>
      </c>
      <c r="E45" s="974">
        <v>1825000</v>
      </c>
      <c r="F45" s="975">
        <f t="shared" si="0"/>
        <v>1825000</v>
      </c>
      <c r="G45" s="939"/>
      <c r="H45" s="944"/>
      <c r="I45" s="967"/>
      <c r="J45" s="968"/>
      <c r="K45" s="30"/>
      <c r="L45" s="947"/>
      <c r="M45" s="941"/>
    </row>
    <row r="46" spans="1:13">
      <c r="A46" s="942">
        <v>5.04</v>
      </c>
      <c r="B46" s="973" t="s">
        <v>575</v>
      </c>
      <c r="C46" s="60" t="s">
        <v>32</v>
      </c>
      <c r="D46" s="974">
        <v>7</v>
      </c>
      <c r="E46" s="974">
        <v>5650</v>
      </c>
      <c r="F46" s="975">
        <f t="shared" si="0"/>
        <v>39550</v>
      </c>
      <c r="G46" s="939"/>
      <c r="H46" s="944"/>
      <c r="I46" s="967"/>
      <c r="J46" s="968"/>
      <c r="K46" s="30"/>
      <c r="L46" s="947"/>
      <c r="M46" s="941"/>
    </row>
    <row r="47" spans="1:13">
      <c r="A47" s="942">
        <v>5.05</v>
      </c>
      <c r="B47" s="976" t="s">
        <v>576</v>
      </c>
      <c r="C47" s="60" t="s">
        <v>32</v>
      </c>
      <c r="D47" s="974">
        <v>2</v>
      </c>
      <c r="E47" s="974">
        <v>3350</v>
      </c>
      <c r="F47" s="975">
        <f t="shared" si="0"/>
        <v>6700</v>
      </c>
      <c r="G47" s="939"/>
      <c r="H47" s="944"/>
      <c r="I47" s="967"/>
      <c r="J47" s="968"/>
      <c r="K47" s="30"/>
      <c r="L47" s="947"/>
      <c r="M47" s="941"/>
    </row>
    <row r="48" spans="1:13">
      <c r="A48" s="942">
        <v>5.0599999999999996</v>
      </c>
      <c r="B48" s="973" t="s">
        <v>577</v>
      </c>
      <c r="C48" s="60" t="s">
        <v>32</v>
      </c>
      <c r="D48" s="974">
        <v>2</v>
      </c>
      <c r="E48" s="974">
        <v>43500</v>
      </c>
      <c r="F48" s="975">
        <f t="shared" si="0"/>
        <v>87000</v>
      </c>
      <c r="G48" s="939"/>
      <c r="H48" s="944"/>
      <c r="I48" s="967"/>
      <c r="J48" s="968"/>
      <c r="K48" s="30"/>
      <c r="L48" s="947"/>
      <c r="M48" s="941"/>
    </row>
    <row r="49" spans="1:13">
      <c r="A49" s="942">
        <v>5.07</v>
      </c>
      <c r="B49" s="973" t="s">
        <v>578</v>
      </c>
      <c r="C49" s="60" t="s">
        <v>32</v>
      </c>
      <c r="D49" s="974">
        <v>1</v>
      </c>
      <c r="E49" s="974">
        <v>17500</v>
      </c>
      <c r="F49" s="975">
        <f t="shared" si="0"/>
        <v>17500</v>
      </c>
      <c r="G49" s="939"/>
      <c r="H49" s="944"/>
      <c r="I49" s="967"/>
      <c r="J49" s="968"/>
      <c r="K49" s="30"/>
      <c r="L49" s="947"/>
      <c r="M49" s="941"/>
    </row>
    <row r="50" spans="1:13">
      <c r="A50" s="942">
        <v>5.08</v>
      </c>
      <c r="B50" s="973" t="s">
        <v>579</v>
      </c>
      <c r="C50" s="60" t="s">
        <v>32</v>
      </c>
      <c r="D50" s="974">
        <v>2</v>
      </c>
      <c r="E50" s="974">
        <v>169225</v>
      </c>
      <c r="F50" s="975">
        <f t="shared" si="0"/>
        <v>338450</v>
      </c>
      <c r="G50" s="939"/>
      <c r="H50" s="944"/>
      <c r="I50" s="967"/>
      <c r="J50" s="968"/>
      <c r="K50" s="30"/>
      <c r="L50" s="947"/>
      <c r="M50" s="941"/>
    </row>
    <row r="51" spans="1:13">
      <c r="A51" s="942">
        <v>5.09</v>
      </c>
      <c r="B51" s="973" t="s">
        <v>580</v>
      </c>
      <c r="C51" s="60" t="s">
        <v>32</v>
      </c>
      <c r="D51" s="974">
        <v>80</v>
      </c>
      <c r="E51" s="974">
        <v>125</v>
      </c>
      <c r="F51" s="975">
        <f t="shared" si="0"/>
        <v>10000</v>
      </c>
      <c r="G51" s="939"/>
      <c r="H51" s="944"/>
      <c r="I51" s="967"/>
      <c r="J51" s="968"/>
      <c r="K51" s="30"/>
      <c r="L51" s="947"/>
      <c r="M51" s="941"/>
    </row>
    <row r="52" spans="1:13">
      <c r="A52" s="971">
        <v>5.0999999999999996</v>
      </c>
      <c r="B52" s="973" t="s">
        <v>581</v>
      </c>
      <c r="C52" s="60" t="s">
        <v>32</v>
      </c>
      <c r="D52" s="974">
        <v>2</v>
      </c>
      <c r="E52" s="974">
        <v>18000</v>
      </c>
      <c r="F52" s="975">
        <f t="shared" si="0"/>
        <v>36000</v>
      </c>
      <c r="G52" s="939"/>
      <c r="H52" s="944"/>
      <c r="I52" s="967"/>
      <c r="J52" s="968"/>
      <c r="K52" s="30"/>
      <c r="L52" s="947"/>
      <c r="M52" s="941"/>
    </row>
    <row r="53" spans="1:13">
      <c r="A53" s="971">
        <v>5.1100000000000003</v>
      </c>
      <c r="B53" s="973" t="s">
        <v>582</v>
      </c>
      <c r="C53" s="60" t="s">
        <v>32</v>
      </c>
      <c r="D53" s="974">
        <v>4</v>
      </c>
      <c r="E53" s="974">
        <v>12500</v>
      </c>
      <c r="F53" s="975">
        <f t="shared" si="0"/>
        <v>50000</v>
      </c>
      <c r="G53" s="939"/>
      <c r="H53" s="944"/>
      <c r="I53" s="967"/>
      <c r="J53" s="968"/>
      <c r="K53" s="30"/>
      <c r="L53" s="947"/>
      <c r="M53" s="941"/>
    </row>
    <row r="54" spans="1:13">
      <c r="A54" s="942">
        <v>5.12</v>
      </c>
      <c r="B54" s="976" t="s">
        <v>583</v>
      </c>
      <c r="C54" s="60" t="s">
        <v>32</v>
      </c>
      <c r="D54" s="974">
        <v>1</v>
      </c>
      <c r="E54" s="974">
        <v>261500</v>
      </c>
      <c r="F54" s="975">
        <f t="shared" si="0"/>
        <v>261500</v>
      </c>
      <c r="G54" s="939"/>
      <c r="H54" s="944"/>
      <c r="I54" s="967"/>
      <c r="J54" s="968"/>
      <c r="K54" s="30"/>
      <c r="L54" s="947"/>
      <c r="M54" s="941"/>
    </row>
    <row r="55" spans="1:13">
      <c r="A55" s="942">
        <v>5.13</v>
      </c>
      <c r="B55" s="973" t="s">
        <v>584</v>
      </c>
      <c r="C55" s="60" t="s">
        <v>585</v>
      </c>
      <c r="D55" s="974">
        <v>4</v>
      </c>
      <c r="E55" s="974">
        <v>3500</v>
      </c>
      <c r="F55" s="975">
        <f t="shared" si="0"/>
        <v>14000</v>
      </c>
      <c r="G55" s="939"/>
      <c r="H55" s="944"/>
      <c r="I55" s="967"/>
      <c r="J55" s="968"/>
      <c r="K55" s="30"/>
      <c r="L55" s="947"/>
      <c r="M55" s="941"/>
    </row>
    <row r="56" spans="1:13">
      <c r="A56" s="942">
        <v>5.14</v>
      </c>
      <c r="B56" s="973" t="s">
        <v>586</v>
      </c>
      <c r="C56" s="60" t="s">
        <v>585</v>
      </c>
      <c r="D56" s="974">
        <v>4</v>
      </c>
      <c r="E56" s="974">
        <v>1200</v>
      </c>
      <c r="F56" s="975">
        <f t="shared" si="0"/>
        <v>4800</v>
      </c>
      <c r="G56" s="939"/>
      <c r="H56" s="944"/>
      <c r="I56" s="967"/>
      <c r="J56" s="968"/>
      <c r="K56" s="30"/>
      <c r="L56" s="947"/>
      <c r="M56" s="941"/>
    </row>
    <row r="57" spans="1:13">
      <c r="A57" s="942">
        <v>5.13</v>
      </c>
      <c r="B57" s="973" t="s">
        <v>320</v>
      </c>
      <c r="C57" s="60" t="s">
        <v>55</v>
      </c>
      <c r="D57" s="974">
        <v>2</v>
      </c>
      <c r="E57" s="974">
        <v>73500</v>
      </c>
      <c r="F57" s="975">
        <f t="shared" si="0"/>
        <v>147000</v>
      </c>
      <c r="G57" s="939"/>
      <c r="H57" s="944"/>
      <c r="I57" s="967"/>
      <c r="J57" s="968"/>
      <c r="K57" s="30"/>
      <c r="L57" s="947"/>
      <c r="M57" s="941"/>
    </row>
    <row r="58" spans="1:13">
      <c r="A58" s="942"/>
      <c r="B58" s="887" t="s">
        <v>587</v>
      </c>
      <c r="C58" s="34"/>
      <c r="D58" s="938"/>
      <c r="E58" s="938"/>
      <c r="F58" s="952">
        <f>SUM(F43:F57)</f>
        <v>3442500</v>
      </c>
      <c r="G58" s="939"/>
      <c r="H58" s="944"/>
      <c r="I58" s="967"/>
      <c r="J58" s="968"/>
      <c r="K58" s="30"/>
      <c r="L58" s="947"/>
      <c r="M58" s="941"/>
    </row>
    <row r="59" spans="1:13">
      <c r="A59" s="942">
        <v>6</v>
      </c>
      <c r="B59" s="887" t="s">
        <v>588</v>
      </c>
      <c r="C59" s="34"/>
      <c r="D59" s="938"/>
      <c r="E59" s="938"/>
      <c r="F59" s="943"/>
      <c r="G59" s="939"/>
      <c r="H59" s="944"/>
      <c r="I59" s="967"/>
      <c r="J59" s="968"/>
      <c r="K59" s="30"/>
      <c r="L59" s="947"/>
      <c r="M59" s="941"/>
    </row>
    <row r="60" spans="1:13">
      <c r="A60" s="942">
        <v>6.01</v>
      </c>
      <c r="B60" s="973" t="s">
        <v>589</v>
      </c>
      <c r="C60" s="60" t="s">
        <v>55</v>
      </c>
      <c r="D60" s="974">
        <v>3</v>
      </c>
      <c r="E60" s="974">
        <v>63304.34</v>
      </c>
      <c r="F60" s="975">
        <f t="shared" si="0"/>
        <v>189913.02</v>
      </c>
      <c r="G60" s="939"/>
      <c r="H60" s="939"/>
      <c r="I60" s="967"/>
      <c r="J60" s="968"/>
      <c r="K60" s="30"/>
      <c r="L60" s="947"/>
      <c r="M60" s="941"/>
    </row>
    <row r="61" spans="1:13">
      <c r="A61" s="942">
        <v>6.02</v>
      </c>
      <c r="B61" s="973" t="s">
        <v>590</v>
      </c>
      <c r="C61" s="60" t="s">
        <v>55</v>
      </c>
      <c r="D61" s="974">
        <v>1</v>
      </c>
      <c r="E61" s="974">
        <v>13500</v>
      </c>
      <c r="F61" s="975">
        <f t="shared" si="0"/>
        <v>13500</v>
      </c>
      <c r="G61" s="939"/>
      <c r="H61" s="939"/>
      <c r="I61" s="967"/>
      <c r="J61" s="968"/>
      <c r="K61" s="30"/>
      <c r="L61" s="947"/>
      <c r="M61" s="941"/>
    </row>
    <row r="62" spans="1:13">
      <c r="A62" s="942">
        <v>6.03</v>
      </c>
      <c r="B62" s="973" t="s">
        <v>591</v>
      </c>
      <c r="C62" s="60" t="s">
        <v>32</v>
      </c>
      <c r="D62" s="974">
        <v>1</v>
      </c>
      <c r="E62" s="974">
        <v>20000</v>
      </c>
      <c r="F62" s="975">
        <f t="shared" si="0"/>
        <v>20000</v>
      </c>
      <c r="G62" s="939"/>
      <c r="H62" s="939"/>
      <c r="I62" s="967"/>
      <c r="J62" s="968"/>
      <c r="K62" s="30"/>
      <c r="L62" s="947"/>
      <c r="M62" s="941"/>
    </row>
    <row r="63" spans="1:13">
      <c r="A63" s="942">
        <v>6.04</v>
      </c>
      <c r="B63" s="973" t="s">
        <v>592</v>
      </c>
      <c r="C63" s="60" t="s">
        <v>55</v>
      </c>
      <c r="D63" s="974">
        <v>1</v>
      </c>
      <c r="E63" s="974">
        <v>30000</v>
      </c>
      <c r="F63" s="975">
        <f t="shared" si="0"/>
        <v>30000</v>
      </c>
      <c r="G63" s="939"/>
      <c r="H63" s="939"/>
      <c r="I63" s="38"/>
      <c r="J63" s="460"/>
      <c r="K63" s="30"/>
      <c r="L63" s="947"/>
      <c r="M63" s="941"/>
    </row>
    <row r="64" spans="1:13">
      <c r="A64" s="942">
        <v>6.05</v>
      </c>
      <c r="B64" s="973" t="s">
        <v>593</v>
      </c>
      <c r="C64" s="60" t="s">
        <v>32</v>
      </c>
      <c r="D64" s="974">
        <v>5</v>
      </c>
      <c r="E64" s="974">
        <v>29500</v>
      </c>
      <c r="F64" s="975">
        <f t="shared" si="0"/>
        <v>147500</v>
      </c>
      <c r="G64" s="939"/>
      <c r="H64" s="939"/>
      <c r="I64" s="38"/>
      <c r="J64" s="460"/>
      <c r="K64" s="30"/>
      <c r="L64" s="947"/>
      <c r="M64" s="941"/>
    </row>
    <row r="65" spans="1:13">
      <c r="A65" s="942">
        <v>6.06</v>
      </c>
      <c r="B65" s="973" t="s">
        <v>594</v>
      </c>
      <c r="C65" s="60" t="s">
        <v>32</v>
      </c>
      <c r="D65" s="974">
        <v>1</v>
      </c>
      <c r="E65" s="974">
        <v>34500</v>
      </c>
      <c r="F65" s="975">
        <f t="shared" si="0"/>
        <v>34500</v>
      </c>
      <c r="G65" s="939"/>
      <c r="H65" s="939"/>
      <c r="I65" s="38"/>
      <c r="J65" s="460"/>
      <c r="K65" s="30"/>
      <c r="L65" s="947"/>
      <c r="M65" s="941"/>
    </row>
    <row r="66" spans="1:13">
      <c r="A66" s="942">
        <v>6.07</v>
      </c>
      <c r="B66" s="973" t="s">
        <v>595</v>
      </c>
      <c r="C66" s="60" t="s">
        <v>596</v>
      </c>
      <c r="D66" s="974">
        <v>1500</v>
      </c>
      <c r="E66" s="974">
        <v>40</v>
      </c>
      <c r="F66" s="975">
        <f t="shared" si="0"/>
        <v>60000</v>
      </c>
      <c r="G66" s="939"/>
      <c r="H66" s="939"/>
      <c r="I66" s="38"/>
      <c r="J66" s="460"/>
      <c r="K66" s="30"/>
      <c r="L66" s="947"/>
      <c r="M66" s="941"/>
    </row>
    <row r="67" spans="1:13">
      <c r="A67" s="942">
        <v>6.08</v>
      </c>
      <c r="B67" s="973" t="s">
        <v>597</v>
      </c>
      <c r="C67" s="60" t="s">
        <v>32</v>
      </c>
      <c r="D67" s="974">
        <v>1</v>
      </c>
      <c r="E67" s="974">
        <v>32015.84</v>
      </c>
      <c r="F67" s="975">
        <f t="shared" si="0"/>
        <v>32015.84</v>
      </c>
      <c r="G67" s="939"/>
      <c r="H67" s="939"/>
      <c r="I67" s="38"/>
      <c r="J67" s="460"/>
      <c r="K67" s="30"/>
      <c r="L67" s="947"/>
      <c r="M67" s="941"/>
    </row>
    <row r="68" spans="1:13">
      <c r="A68" s="942">
        <v>6.09</v>
      </c>
      <c r="B68" s="973" t="s">
        <v>598</v>
      </c>
      <c r="C68" s="60" t="s">
        <v>32</v>
      </c>
      <c r="D68" s="974">
        <v>2</v>
      </c>
      <c r="E68" s="974">
        <v>21227.08</v>
      </c>
      <c r="F68" s="975">
        <f t="shared" si="0"/>
        <v>42454.16</v>
      </c>
      <c r="G68" s="939"/>
      <c r="H68" s="939"/>
      <c r="I68" s="38"/>
      <c r="J68" s="460"/>
      <c r="K68" s="30"/>
      <c r="L68" s="947"/>
      <c r="M68" s="941"/>
    </row>
    <row r="69" spans="1:13">
      <c r="A69" s="971">
        <v>6.1</v>
      </c>
      <c r="B69" s="973" t="s">
        <v>599</v>
      </c>
      <c r="C69" s="60" t="s">
        <v>32</v>
      </c>
      <c r="D69" s="974">
        <v>1</v>
      </c>
      <c r="E69" s="974">
        <v>12800</v>
      </c>
      <c r="F69" s="975">
        <f t="shared" si="0"/>
        <v>12800</v>
      </c>
      <c r="G69" s="939"/>
      <c r="H69" s="939"/>
      <c r="I69" s="38"/>
      <c r="J69" s="460"/>
      <c r="K69" s="30"/>
      <c r="L69" s="947"/>
      <c r="M69" s="941"/>
    </row>
    <row r="70" spans="1:13">
      <c r="A70" s="971">
        <v>6.11</v>
      </c>
      <c r="B70" s="973" t="s">
        <v>600</v>
      </c>
      <c r="C70" s="60" t="s">
        <v>32</v>
      </c>
      <c r="D70" s="974">
        <v>2</v>
      </c>
      <c r="E70" s="974">
        <v>15200</v>
      </c>
      <c r="F70" s="975">
        <f t="shared" si="0"/>
        <v>30400</v>
      </c>
      <c r="G70" s="939"/>
      <c r="H70" s="939"/>
      <c r="I70" s="38"/>
      <c r="J70" s="460"/>
      <c r="K70" s="30"/>
      <c r="L70" s="947"/>
      <c r="M70" s="941"/>
    </row>
    <row r="71" spans="1:13">
      <c r="A71" s="942">
        <v>6.12</v>
      </c>
      <c r="B71" s="973" t="s">
        <v>601</v>
      </c>
      <c r="C71" s="60" t="s">
        <v>32</v>
      </c>
      <c r="D71" s="974">
        <v>1</v>
      </c>
      <c r="E71" s="974">
        <v>28000</v>
      </c>
      <c r="F71" s="975">
        <f t="shared" si="0"/>
        <v>28000</v>
      </c>
      <c r="G71" s="939"/>
      <c r="H71" s="939"/>
      <c r="I71" s="38"/>
      <c r="J71" s="460"/>
      <c r="K71" s="30"/>
      <c r="L71" s="947"/>
      <c r="M71" s="941"/>
    </row>
    <row r="72" spans="1:13">
      <c r="A72" s="942">
        <v>6.13</v>
      </c>
      <c r="B72" s="973" t="s">
        <v>602</v>
      </c>
      <c r="C72" s="60" t="s">
        <v>32</v>
      </c>
      <c r="D72" s="974">
        <v>7</v>
      </c>
      <c r="E72" s="974">
        <v>5714.75</v>
      </c>
      <c r="F72" s="975">
        <f t="shared" si="0"/>
        <v>40003.25</v>
      </c>
      <c r="G72" s="939"/>
      <c r="H72" s="939"/>
      <c r="I72" s="38"/>
      <c r="J72" s="460"/>
      <c r="K72" s="30"/>
      <c r="L72" s="947"/>
      <c r="M72" s="941"/>
    </row>
    <row r="73" spans="1:13">
      <c r="A73" s="942">
        <v>6.141</v>
      </c>
      <c r="B73" s="973" t="s">
        <v>603</v>
      </c>
      <c r="C73" s="60" t="s">
        <v>55</v>
      </c>
      <c r="D73" s="974">
        <v>3</v>
      </c>
      <c r="E73" s="974">
        <v>8089.38</v>
      </c>
      <c r="F73" s="975">
        <f t="shared" si="0"/>
        <v>24268.14</v>
      </c>
      <c r="G73" s="939"/>
      <c r="H73" s="939"/>
      <c r="I73" s="38"/>
      <c r="J73" s="460"/>
      <c r="K73" s="30"/>
      <c r="L73" s="947"/>
      <c r="M73" s="941"/>
    </row>
    <row r="74" spans="1:13">
      <c r="A74" s="942">
        <v>6.15</v>
      </c>
      <c r="B74" s="973" t="s">
        <v>604</v>
      </c>
      <c r="C74" s="60" t="s">
        <v>32</v>
      </c>
      <c r="D74" s="974">
        <v>14</v>
      </c>
      <c r="E74" s="974">
        <v>700</v>
      </c>
      <c r="F74" s="975">
        <f t="shared" si="0"/>
        <v>9800</v>
      </c>
      <c r="G74" s="939"/>
      <c r="H74" s="939"/>
      <c r="I74" s="38"/>
      <c r="J74" s="460"/>
      <c r="K74" s="30"/>
      <c r="L74" s="947"/>
      <c r="M74" s="941"/>
    </row>
    <row r="75" spans="1:13">
      <c r="A75" s="942">
        <v>6.16</v>
      </c>
      <c r="B75" s="973" t="s">
        <v>605</v>
      </c>
      <c r="C75" s="60" t="s">
        <v>32</v>
      </c>
      <c r="D75" s="974">
        <v>3</v>
      </c>
      <c r="E75" s="974">
        <v>35</v>
      </c>
      <c r="F75" s="975">
        <f t="shared" si="0"/>
        <v>105</v>
      </c>
      <c r="G75" s="939"/>
      <c r="H75" s="939"/>
      <c r="I75" s="38"/>
      <c r="J75" s="460"/>
      <c r="K75" s="30"/>
      <c r="L75" s="947"/>
      <c r="M75" s="941"/>
    </row>
    <row r="76" spans="1:13">
      <c r="A76" s="942">
        <v>6.17</v>
      </c>
      <c r="B76" s="973" t="s">
        <v>606</v>
      </c>
      <c r="C76" s="60" t="s">
        <v>32</v>
      </c>
      <c r="D76" s="974">
        <v>5</v>
      </c>
      <c r="E76" s="974">
        <v>1300</v>
      </c>
      <c r="F76" s="975">
        <f t="shared" si="0"/>
        <v>6500</v>
      </c>
      <c r="G76" s="939"/>
      <c r="H76" s="939"/>
      <c r="I76" s="38"/>
      <c r="J76" s="460"/>
      <c r="K76" s="30"/>
      <c r="L76" s="947"/>
      <c r="M76" s="941"/>
    </row>
    <row r="77" spans="1:13">
      <c r="A77" s="942">
        <v>6.18</v>
      </c>
      <c r="B77" s="973" t="s">
        <v>607</v>
      </c>
      <c r="C77" s="60" t="s">
        <v>55</v>
      </c>
      <c r="D77" s="974">
        <v>1</v>
      </c>
      <c r="E77" s="974">
        <v>2300</v>
      </c>
      <c r="F77" s="975">
        <f t="shared" ref="F77:F139" si="9">D77*E77</f>
        <v>2300</v>
      </c>
      <c r="G77" s="939"/>
      <c r="H77" s="939"/>
      <c r="I77" s="38"/>
      <c r="J77" s="460"/>
      <c r="K77" s="30"/>
      <c r="L77" s="947"/>
      <c r="M77" s="941"/>
    </row>
    <row r="78" spans="1:13">
      <c r="A78" s="942">
        <v>6.19</v>
      </c>
      <c r="B78" s="973" t="s">
        <v>320</v>
      </c>
      <c r="C78" s="60" t="s">
        <v>55</v>
      </c>
      <c r="D78" s="974">
        <v>1</v>
      </c>
      <c r="E78" s="974">
        <v>180000</v>
      </c>
      <c r="F78" s="975">
        <f t="shared" si="9"/>
        <v>180000</v>
      </c>
      <c r="G78" s="939"/>
      <c r="H78" s="939"/>
      <c r="I78" s="38"/>
      <c r="J78" s="460"/>
      <c r="K78" s="30"/>
      <c r="L78" s="947"/>
      <c r="M78" s="941"/>
    </row>
    <row r="79" spans="1:13">
      <c r="A79" s="942"/>
      <c r="B79" s="887" t="s">
        <v>608</v>
      </c>
      <c r="C79" s="50"/>
      <c r="D79" s="977"/>
      <c r="E79" s="977"/>
      <c r="F79" s="952">
        <f>SUM(F60:F78)</f>
        <v>904059.41</v>
      </c>
      <c r="G79" s="939"/>
      <c r="H79" s="944"/>
      <c r="I79" s="967"/>
      <c r="J79" s="968"/>
      <c r="K79" s="30"/>
      <c r="L79" s="970"/>
      <c r="M79" s="941"/>
    </row>
    <row r="80" spans="1:13">
      <c r="A80" s="942"/>
      <c r="B80" s="887" t="s">
        <v>609</v>
      </c>
      <c r="C80" s="34"/>
      <c r="D80" s="938"/>
      <c r="E80" s="938"/>
      <c r="F80" s="943"/>
      <c r="G80" s="939"/>
      <c r="H80" s="944"/>
      <c r="I80" s="967"/>
      <c r="J80" s="968"/>
      <c r="K80" s="30"/>
      <c r="L80" s="947"/>
      <c r="M80" s="941"/>
    </row>
    <row r="81" spans="1:13">
      <c r="A81" s="978">
        <v>7</v>
      </c>
      <c r="B81" s="887" t="s">
        <v>610</v>
      </c>
      <c r="C81" s="34"/>
      <c r="D81" s="938"/>
      <c r="E81" s="977"/>
      <c r="F81" s="943"/>
      <c r="G81" s="939"/>
      <c r="H81" s="944"/>
      <c r="I81" s="967"/>
      <c r="J81" s="968"/>
      <c r="K81" s="30"/>
      <c r="L81" s="947"/>
      <c r="M81" s="941"/>
    </row>
    <row r="82" spans="1:13">
      <c r="A82" s="942">
        <v>7.01</v>
      </c>
      <c r="B82" s="973" t="s">
        <v>611</v>
      </c>
      <c r="C82" s="60" t="s">
        <v>32</v>
      </c>
      <c r="D82" s="974">
        <v>1</v>
      </c>
      <c r="E82" s="974">
        <v>780</v>
      </c>
      <c r="F82" s="975">
        <f t="shared" si="9"/>
        <v>780</v>
      </c>
      <c r="G82" s="939"/>
      <c r="H82" s="939"/>
      <c r="I82" s="979"/>
      <c r="J82" s="980"/>
      <c r="K82" s="30"/>
      <c r="L82" s="947"/>
      <c r="M82" s="941"/>
    </row>
    <row r="83" spans="1:13">
      <c r="A83" s="942">
        <v>7.02</v>
      </c>
      <c r="B83" s="973" t="s">
        <v>612</v>
      </c>
      <c r="C83" s="60" t="s">
        <v>596</v>
      </c>
      <c r="D83" s="974">
        <v>300</v>
      </c>
      <c r="E83" s="974">
        <v>190</v>
      </c>
      <c r="F83" s="975">
        <f t="shared" si="9"/>
        <v>57000</v>
      </c>
      <c r="G83" s="939"/>
      <c r="H83" s="939"/>
      <c r="I83" s="979"/>
      <c r="J83" s="980"/>
      <c r="K83" s="30"/>
      <c r="L83" s="947"/>
      <c r="M83" s="941"/>
    </row>
    <row r="84" spans="1:13">
      <c r="A84" s="942">
        <v>7.03</v>
      </c>
      <c r="B84" s="973" t="s">
        <v>613</v>
      </c>
      <c r="C84" s="60" t="s">
        <v>32</v>
      </c>
      <c r="D84" s="974">
        <v>2</v>
      </c>
      <c r="E84" s="974">
        <v>2300</v>
      </c>
      <c r="F84" s="975">
        <f t="shared" si="9"/>
        <v>4600</v>
      </c>
      <c r="G84" s="939"/>
      <c r="H84" s="939"/>
      <c r="I84" s="979"/>
      <c r="J84" s="980"/>
      <c r="K84" s="30"/>
      <c r="L84" s="947"/>
      <c r="M84" s="941"/>
    </row>
    <row r="85" spans="1:13">
      <c r="A85" s="942">
        <v>7.04</v>
      </c>
      <c r="B85" s="973" t="s">
        <v>614</v>
      </c>
      <c r="C85" s="60" t="s">
        <v>32</v>
      </c>
      <c r="D85" s="974">
        <v>1</v>
      </c>
      <c r="E85" s="974">
        <v>1600</v>
      </c>
      <c r="F85" s="975">
        <f t="shared" si="9"/>
        <v>1600</v>
      </c>
      <c r="G85" s="939"/>
      <c r="H85" s="939"/>
      <c r="I85" s="979"/>
      <c r="J85" s="980"/>
      <c r="K85" s="30"/>
      <c r="L85" s="947"/>
      <c r="M85" s="941"/>
    </row>
    <row r="86" spans="1:13">
      <c r="A86" s="942">
        <v>7.05</v>
      </c>
      <c r="B86" s="973" t="s">
        <v>615</v>
      </c>
      <c r="C86" s="60" t="s">
        <v>32</v>
      </c>
      <c r="D86" s="974">
        <v>2</v>
      </c>
      <c r="E86" s="974">
        <v>250</v>
      </c>
      <c r="F86" s="975">
        <f t="shared" si="9"/>
        <v>500</v>
      </c>
      <c r="G86" s="939"/>
      <c r="H86" s="939"/>
      <c r="I86" s="979"/>
      <c r="J86" s="980"/>
      <c r="K86" s="30"/>
      <c r="L86" s="947"/>
      <c r="M86" s="941"/>
    </row>
    <row r="87" spans="1:13">
      <c r="A87" s="942">
        <v>7.06</v>
      </c>
      <c r="B87" s="973" t="s">
        <v>616</v>
      </c>
      <c r="C87" s="60" t="s">
        <v>32</v>
      </c>
      <c r="D87" s="974">
        <v>2</v>
      </c>
      <c r="E87" s="974">
        <v>125</v>
      </c>
      <c r="F87" s="975">
        <f t="shared" si="9"/>
        <v>250</v>
      </c>
      <c r="G87" s="939"/>
      <c r="H87" s="939"/>
      <c r="I87" s="979"/>
      <c r="J87" s="980"/>
      <c r="K87" s="30"/>
      <c r="L87" s="947"/>
      <c r="M87" s="941"/>
    </row>
    <row r="88" spans="1:13">
      <c r="A88" s="942">
        <v>7.07</v>
      </c>
      <c r="B88" s="973" t="s">
        <v>617</v>
      </c>
      <c r="C88" s="60" t="s">
        <v>32</v>
      </c>
      <c r="D88" s="974">
        <v>0.5</v>
      </c>
      <c r="E88" s="974">
        <v>829</v>
      </c>
      <c r="F88" s="975">
        <f t="shared" si="9"/>
        <v>414.5</v>
      </c>
      <c r="G88" s="939"/>
      <c r="H88" s="939"/>
      <c r="I88" s="979"/>
      <c r="J88" s="980"/>
      <c r="K88" s="30"/>
      <c r="L88" s="947"/>
      <c r="M88" s="941"/>
    </row>
    <row r="89" spans="1:13">
      <c r="A89" s="942">
        <v>7.08</v>
      </c>
      <c r="B89" s="973" t="s">
        <v>618</v>
      </c>
      <c r="C89" s="60" t="s">
        <v>32</v>
      </c>
      <c r="D89" s="974">
        <v>3</v>
      </c>
      <c r="E89" s="974">
        <v>90</v>
      </c>
      <c r="F89" s="975">
        <f t="shared" si="9"/>
        <v>270</v>
      </c>
      <c r="G89" s="939"/>
      <c r="H89" s="939"/>
      <c r="I89" s="979"/>
      <c r="J89" s="980"/>
      <c r="K89" s="30"/>
      <c r="L89" s="947"/>
      <c r="M89" s="941"/>
    </row>
    <row r="90" spans="1:13">
      <c r="A90" s="942">
        <v>7.09</v>
      </c>
      <c r="B90" s="973" t="s">
        <v>619</v>
      </c>
      <c r="C90" s="60" t="s">
        <v>32</v>
      </c>
      <c r="D90" s="974">
        <v>1</v>
      </c>
      <c r="E90" s="974">
        <v>18000</v>
      </c>
      <c r="F90" s="975">
        <f t="shared" si="9"/>
        <v>18000</v>
      </c>
      <c r="G90" s="945"/>
      <c r="H90" s="945"/>
      <c r="I90" s="979"/>
      <c r="J90" s="980"/>
      <c r="K90" s="30"/>
      <c r="L90" s="947"/>
      <c r="M90" s="941"/>
    </row>
    <row r="91" spans="1:13">
      <c r="A91" s="942">
        <v>7.1</v>
      </c>
      <c r="B91" s="973" t="s">
        <v>620</v>
      </c>
      <c r="C91" s="60" t="s">
        <v>621</v>
      </c>
      <c r="D91" s="974">
        <v>3</v>
      </c>
      <c r="E91" s="974">
        <v>750</v>
      </c>
      <c r="F91" s="975">
        <f t="shared" si="9"/>
        <v>2250</v>
      </c>
      <c r="G91" s="945"/>
      <c r="H91" s="945"/>
      <c r="I91" s="979"/>
      <c r="J91" s="980"/>
      <c r="K91" s="30"/>
      <c r="L91" s="947"/>
      <c r="M91" s="941"/>
    </row>
    <row r="92" spans="1:13">
      <c r="A92" s="942">
        <v>7.11</v>
      </c>
      <c r="B92" s="973" t="s">
        <v>622</v>
      </c>
      <c r="C92" s="60" t="s">
        <v>45</v>
      </c>
      <c r="D92" s="974">
        <v>28.8</v>
      </c>
      <c r="E92" s="974">
        <v>225</v>
      </c>
      <c r="F92" s="975">
        <f t="shared" si="9"/>
        <v>6480</v>
      </c>
      <c r="G92" s="945"/>
      <c r="H92" s="945"/>
      <c r="I92" s="979"/>
      <c r="J92" s="980"/>
      <c r="K92" s="30"/>
      <c r="L92" s="947"/>
      <c r="M92" s="941"/>
    </row>
    <row r="93" spans="1:13">
      <c r="A93" s="942">
        <v>7.12</v>
      </c>
      <c r="B93" s="973" t="s">
        <v>623</v>
      </c>
      <c r="C93" s="60" t="s">
        <v>45</v>
      </c>
      <c r="D93" s="974">
        <v>37.44</v>
      </c>
      <c r="E93" s="974">
        <v>125</v>
      </c>
      <c r="F93" s="975">
        <f t="shared" si="9"/>
        <v>4680</v>
      </c>
      <c r="G93" s="945"/>
      <c r="H93" s="945"/>
      <c r="I93" s="979"/>
      <c r="J93" s="980"/>
      <c r="K93" s="30"/>
      <c r="L93" s="947"/>
      <c r="M93" s="941"/>
    </row>
    <row r="94" spans="1:13">
      <c r="A94" s="942">
        <v>7.13</v>
      </c>
      <c r="B94" s="973" t="s">
        <v>624</v>
      </c>
      <c r="C94" s="60" t="s">
        <v>32</v>
      </c>
      <c r="D94" s="974">
        <v>3</v>
      </c>
      <c r="E94" s="974">
        <v>225</v>
      </c>
      <c r="F94" s="975">
        <f t="shared" si="9"/>
        <v>675</v>
      </c>
      <c r="G94" s="945"/>
      <c r="H94" s="945"/>
      <c r="I94" s="979"/>
      <c r="J94" s="980"/>
      <c r="K94" s="30"/>
      <c r="L94" s="947"/>
      <c r="M94" s="941"/>
    </row>
    <row r="95" spans="1:13">
      <c r="A95" s="942">
        <v>7.14</v>
      </c>
      <c r="B95" s="973" t="s">
        <v>605</v>
      </c>
      <c r="C95" s="60" t="s">
        <v>32</v>
      </c>
      <c r="D95" s="974">
        <v>3</v>
      </c>
      <c r="E95" s="974">
        <v>125</v>
      </c>
      <c r="F95" s="975">
        <f t="shared" si="9"/>
        <v>375</v>
      </c>
      <c r="G95" s="945"/>
      <c r="H95" s="945"/>
      <c r="I95" s="979"/>
      <c r="J95" s="980"/>
      <c r="K95" s="30"/>
      <c r="L95" s="947"/>
      <c r="M95" s="941"/>
    </row>
    <row r="96" spans="1:13">
      <c r="A96" s="942">
        <v>7.15</v>
      </c>
      <c r="B96" s="973" t="s">
        <v>607</v>
      </c>
      <c r="C96" s="60" t="s">
        <v>55</v>
      </c>
      <c r="D96" s="974">
        <v>1</v>
      </c>
      <c r="E96" s="974">
        <v>35000</v>
      </c>
      <c r="F96" s="975">
        <f t="shared" si="9"/>
        <v>35000</v>
      </c>
      <c r="G96" s="945"/>
      <c r="H96" s="945"/>
      <c r="I96" s="979"/>
      <c r="J96" s="980"/>
      <c r="K96" s="30"/>
      <c r="L96" s="947"/>
      <c r="M96" s="941"/>
    </row>
    <row r="97" spans="1:13">
      <c r="A97" s="942">
        <v>7.16</v>
      </c>
      <c r="B97" s="973" t="s">
        <v>320</v>
      </c>
      <c r="C97" s="60" t="s">
        <v>55</v>
      </c>
      <c r="D97" s="974">
        <v>1</v>
      </c>
      <c r="E97" s="974">
        <v>20000</v>
      </c>
      <c r="F97" s="975">
        <f t="shared" si="9"/>
        <v>20000</v>
      </c>
      <c r="G97" s="945"/>
      <c r="H97" s="945"/>
      <c r="I97" s="979"/>
      <c r="J97" s="980"/>
      <c r="K97" s="30"/>
      <c r="L97" s="947"/>
      <c r="M97" s="941"/>
    </row>
    <row r="98" spans="1:13">
      <c r="A98" s="942"/>
      <c r="B98" s="887" t="s">
        <v>625</v>
      </c>
      <c r="C98" s="50"/>
      <c r="D98" s="977"/>
      <c r="E98" s="977"/>
      <c r="F98" s="952">
        <f>SUM(F82:F97)</f>
        <v>152874.5</v>
      </c>
      <c r="G98" s="939"/>
      <c r="H98" s="939"/>
      <c r="I98" s="979"/>
      <c r="J98" s="980"/>
      <c r="K98" s="30"/>
      <c r="L98" s="970"/>
      <c r="M98" s="941"/>
    </row>
    <row r="99" spans="1:13">
      <c r="A99" s="981">
        <v>8</v>
      </c>
      <c r="B99" s="982" t="s">
        <v>626</v>
      </c>
      <c r="C99" s="213"/>
      <c r="D99" s="974"/>
      <c r="E99" s="974"/>
      <c r="F99" s="975"/>
      <c r="G99" s="939"/>
      <c r="H99" s="939"/>
      <c r="I99" s="979"/>
      <c r="J99" s="980"/>
      <c r="K99" s="30"/>
      <c r="L99" s="947"/>
      <c r="M99" s="941"/>
    </row>
    <row r="100" spans="1:13">
      <c r="A100" s="942">
        <v>8.01</v>
      </c>
      <c r="B100" s="973" t="s">
        <v>612</v>
      </c>
      <c r="C100" s="60" t="s">
        <v>596</v>
      </c>
      <c r="D100" s="974">
        <v>60</v>
      </c>
      <c r="E100" s="974">
        <v>190</v>
      </c>
      <c r="F100" s="975">
        <f t="shared" si="9"/>
        <v>11400</v>
      </c>
      <c r="G100" s="939"/>
      <c r="H100" s="939"/>
      <c r="I100" s="38"/>
      <c r="J100" s="460"/>
      <c r="K100" s="30"/>
      <c r="L100" s="947"/>
      <c r="M100" s="941"/>
    </row>
    <row r="101" spans="1:13">
      <c r="A101" s="942">
        <v>8.02</v>
      </c>
      <c r="B101" s="973" t="s">
        <v>614</v>
      </c>
      <c r="C101" s="60" t="s">
        <v>32</v>
      </c>
      <c r="D101" s="974">
        <v>0.5</v>
      </c>
      <c r="E101" s="974">
        <v>1600</v>
      </c>
      <c r="F101" s="975">
        <f t="shared" si="9"/>
        <v>800</v>
      </c>
      <c r="G101" s="939"/>
      <c r="H101" s="939"/>
      <c r="I101" s="38"/>
      <c r="J101" s="460"/>
      <c r="K101" s="30"/>
      <c r="L101" s="947"/>
      <c r="M101" s="941"/>
    </row>
    <row r="102" spans="1:13">
      <c r="A102" s="942">
        <v>8.0299999999999994</v>
      </c>
      <c r="B102" s="973" t="s">
        <v>627</v>
      </c>
      <c r="C102" s="60" t="s">
        <v>32</v>
      </c>
      <c r="D102" s="974">
        <v>2</v>
      </c>
      <c r="E102" s="974">
        <v>145</v>
      </c>
      <c r="F102" s="975">
        <f t="shared" si="9"/>
        <v>290</v>
      </c>
      <c r="G102" s="939"/>
      <c r="H102" s="939"/>
      <c r="I102" s="38"/>
      <c r="J102" s="460"/>
      <c r="K102" s="30"/>
      <c r="L102" s="947"/>
      <c r="M102" s="941"/>
    </row>
    <row r="103" spans="1:13">
      <c r="A103" s="942">
        <v>8.0399999999999991</v>
      </c>
      <c r="B103" s="973" t="s">
        <v>615</v>
      </c>
      <c r="C103" s="60" t="s">
        <v>32</v>
      </c>
      <c r="D103" s="974">
        <v>2</v>
      </c>
      <c r="E103" s="974">
        <v>125</v>
      </c>
      <c r="F103" s="975">
        <f t="shared" si="9"/>
        <v>250</v>
      </c>
      <c r="G103" s="939"/>
      <c r="H103" s="939"/>
      <c r="I103" s="38"/>
      <c r="J103" s="460"/>
      <c r="K103" s="30"/>
      <c r="L103" s="947"/>
      <c r="M103" s="941"/>
    </row>
    <row r="104" spans="1:13">
      <c r="A104" s="971">
        <v>8.0500000000000007</v>
      </c>
      <c r="B104" s="973" t="s">
        <v>616</v>
      </c>
      <c r="C104" s="60" t="s">
        <v>32</v>
      </c>
      <c r="D104" s="974">
        <v>2</v>
      </c>
      <c r="E104" s="974">
        <v>70</v>
      </c>
      <c r="F104" s="975">
        <f t="shared" si="9"/>
        <v>140</v>
      </c>
      <c r="G104" s="939"/>
      <c r="H104" s="939"/>
      <c r="I104" s="38"/>
      <c r="J104" s="460"/>
      <c r="K104" s="30"/>
      <c r="L104" s="947"/>
      <c r="M104" s="941"/>
    </row>
    <row r="105" spans="1:13">
      <c r="A105" s="971">
        <v>8.06</v>
      </c>
      <c r="B105" s="973" t="s">
        <v>628</v>
      </c>
      <c r="C105" s="60" t="s">
        <v>32</v>
      </c>
      <c r="D105" s="974">
        <v>0.5</v>
      </c>
      <c r="E105" s="974">
        <v>750</v>
      </c>
      <c r="F105" s="975">
        <f t="shared" si="9"/>
        <v>375</v>
      </c>
      <c r="G105" s="939"/>
      <c r="H105" s="939"/>
      <c r="I105" s="38"/>
      <c r="J105" s="460"/>
      <c r="K105" s="30"/>
      <c r="L105" s="947"/>
      <c r="M105" s="941"/>
    </row>
    <row r="106" spans="1:13">
      <c r="A106" s="971">
        <v>8.07</v>
      </c>
      <c r="B106" s="973" t="s">
        <v>618</v>
      </c>
      <c r="C106" s="60" t="s">
        <v>32</v>
      </c>
      <c r="D106" s="974">
        <v>3</v>
      </c>
      <c r="E106" s="974">
        <v>90</v>
      </c>
      <c r="F106" s="975">
        <f t="shared" si="9"/>
        <v>270</v>
      </c>
      <c r="G106" s="939"/>
      <c r="H106" s="939"/>
      <c r="I106" s="38"/>
      <c r="J106" s="460"/>
      <c r="K106" s="30"/>
      <c r="L106" s="947"/>
      <c r="M106" s="941"/>
    </row>
    <row r="107" spans="1:13">
      <c r="A107" s="971">
        <v>8.08</v>
      </c>
      <c r="B107" s="973" t="s">
        <v>320</v>
      </c>
      <c r="C107" s="60" t="s">
        <v>55</v>
      </c>
      <c r="D107" s="974">
        <v>1</v>
      </c>
      <c r="E107" s="974">
        <v>5000</v>
      </c>
      <c r="F107" s="975">
        <f t="shared" si="9"/>
        <v>5000</v>
      </c>
      <c r="G107" s="939"/>
      <c r="H107" s="939"/>
      <c r="I107" s="38"/>
      <c r="J107" s="460"/>
      <c r="K107" s="30"/>
      <c r="L107" s="947"/>
      <c r="M107" s="941"/>
    </row>
    <row r="108" spans="1:13">
      <c r="A108" s="942"/>
      <c r="B108" s="983" t="s">
        <v>629</v>
      </c>
      <c r="C108" s="984"/>
      <c r="D108" s="985"/>
      <c r="E108" s="985"/>
      <c r="F108" s="952">
        <f>SUM(F100:F107)</f>
        <v>18525</v>
      </c>
      <c r="G108" s="939"/>
      <c r="H108" s="939"/>
      <c r="I108" s="979"/>
      <c r="J108" s="980"/>
      <c r="K108" s="30"/>
      <c r="L108" s="940"/>
      <c r="M108" s="941"/>
    </row>
    <row r="109" spans="1:13">
      <c r="A109" s="942">
        <v>9</v>
      </c>
      <c r="B109" s="887" t="s">
        <v>630</v>
      </c>
      <c r="C109" s="34"/>
      <c r="D109" s="938"/>
      <c r="E109" s="938"/>
      <c r="F109" s="943"/>
      <c r="G109" s="939"/>
      <c r="H109" s="939"/>
      <c r="I109" s="979"/>
      <c r="J109" s="980"/>
      <c r="K109" s="30"/>
      <c r="L109" s="940"/>
      <c r="M109" s="941"/>
    </row>
    <row r="110" spans="1:13">
      <c r="A110" s="942">
        <v>9.01</v>
      </c>
      <c r="B110" s="973" t="s">
        <v>631</v>
      </c>
      <c r="C110" s="60" t="s">
        <v>596</v>
      </c>
      <c r="D110" s="974">
        <v>120</v>
      </c>
      <c r="E110" s="974">
        <v>135</v>
      </c>
      <c r="F110" s="975">
        <f t="shared" si="9"/>
        <v>16200</v>
      </c>
      <c r="G110" s="939"/>
      <c r="H110" s="939"/>
      <c r="I110" s="38"/>
      <c r="J110" s="460"/>
      <c r="K110" s="30"/>
      <c r="L110" s="947"/>
      <c r="M110" s="941"/>
    </row>
    <row r="111" spans="1:13">
      <c r="A111" s="942">
        <v>9.02</v>
      </c>
      <c r="B111" s="973" t="s">
        <v>614</v>
      </c>
      <c r="C111" s="60" t="s">
        <v>32</v>
      </c>
      <c r="D111" s="974">
        <v>0.5</v>
      </c>
      <c r="E111" s="974">
        <v>1600</v>
      </c>
      <c r="F111" s="975">
        <f t="shared" si="9"/>
        <v>800</v>
      </c>
      <c r="G111" s="939"/>
      <c r="H111" s="939"/>
      <c r="I111" s="38"/>
      <c r="J111" s="460"/>
      <c r="K111" s="30"/>
      <c r="L111" s="947"/>
      <c r="M111" s="941"/>
    </row>
    <row r="112" spans="1:13">
      <c r="A112" s="942">
        <v>9.0299999999999994</v>
      </c>
      <c r="B112" s="973" t="s">
        <v>632</v>
      </c>
      <c r="C112" s="60" t="s">
        <v>32</v>
      </c>
      <c r="D112" s="974">
        <v>2</v>
      </c>
      <c r="E112" s="974">
        <v>750</v>
      </c>
      <c r="F112" s="975">
        <f t="shared" si="9"/>
        <v>1500</v>
      </c>
      <c r="G112" s="939"/>
      <c r="H112" s="939"/>
      <c r="I112" s="38"/>
      <c r="J112" s="460"/>
      <c r="K112" s="30"/>
      <c r="L112" s="947"/>
      <c r="M112" s="941"/>
    </row>
    <row r="113" spans="1:13">
      <c r="A113" s="942">
        <v>9.0399999999999991</v>
      </c>
      <c r="B113" s="973" t="s">
        <v>615</v>
      </c>
      <c r="C113" s="60" t="s">
        <v>32</v>
      </c>
      <c r="D113" s="974">
        <v>2</v>
      </c>
      <c r="E113" s="974">
        <v>125</v>
      </c>
      <c r="F113" s="975">
        <f t="shared" si="9"/>
        <v>250</v>
      </c>
      <c r="G113" s="939"/>
      <c r="H113" s="939"/>
      <c r="I113" s="38"/>
      <c r="J113" s="460"/>
      <c r="K113" s="30"/>
      <c r="L113" s="947"/>
      <c r="M113" s="941"/>
    </row>
    <row r="114" spans="1:13">
      <c r="A114" s="942">
        <v>9.0500000000000007</v>
      </c>
      <c r="B114" s="973" t="s">
        <v>616</v>
      </c>
      <c r="C114" s="60" t="s">
        <v>32</v>
      </c>
      <c r="D114" s="974">
        <v>2</v>
      </c>
      <c r="E114" s="974">
        <v>70</v>
      </c>
      <c r="F114" s="975">
        <f t="shared" si="9"/>
        <v>140</v>
      </c>
      <c r="G114" s="939"/>
      <c r="H114" s="939"/>
      <c r="I114" s="38"/>
      <c r="J114" s="460"/>
      <c r="K114" s="30"/>
      <c r="L114" s="947"/>
      <c r="M114" s="941"/>
    </row>
    <row r="115" spans="1:13">
      <c r="A115" s="942">
        <v>9.06</v>
      </c>
      <c r="B115" s="973" t="s">
        <v>617</v>
      </c>
      <c r="C115" s="60" t="s">
        <v>32</v>
      </c>
      <c r="D115" s="974">
        <v>0.5</v>
      </c>
      <c r="E115" s="974">
        <v>700</v>
      </c>
      <c r="F115" s="975">
        <f t="shared" si="9"/>
        <v>350</v>
      </c>
      <c r="G115" s="939"/>
      <c r="H115" s="939"/>
      <c r="I115" s="38"/>
      <c r="J115" s="460"/>
      <c r="K115" s="30"/>
      <c r="L115" s="947"/>
      <c r="M115" s="941"/>
    </row>
    <row r="116" spans="1:13">
      <c r="A116" s="942">
        <v>9.07</v>
      </c>
      <c r="B116" s="973" t="s">
        <v>618</v>
      </c>
      <c r="C116" s="60" t="s">
        <v>32</v>
      </c>
      <c r="D116" s="974">
        <v>2</v>
      </c>
      <c r="E116" s="974">
        <v>90</v>
      </c>
      <c r="F116" s="975">
        <f t="shared" si="9"/>
        <v>180</v>
      </c>
      <c r="G116" s="939"/>
      <c r="H116" s="939"/>
      <c r="I116" s="38"/>
      <c r="J116" s="460"/>
      <c r="K116" s="30"/>
      <c r="L116" s="947"/>
      <c r="M116" s="941"/>
    </row>
    <row r="117" spans="1:13">
      <c r="A117" s="942">
        <v>9.08</v>
      </c>
      <c r="B117" s="973" t="s">
        <v>633</v>
      </c>
      <c r="C117" s="60" t="s">
        <v>596</v>
      </c>
      <c r="D117" s="974">
        <v>5</v>
      </c>
      <c r="E117" s="974">
        <v>150</v>
      </c>
      <c r="F117" s="975">
        <f t="shared" si="9"/>
        <v>750</v>
      </c>
      <c r="G117" s="939"/>
      <c r="H117" s="939"/>
      <c r="I117" s="38"/>
      <c r="J117" s="460"/>
      <c r="K117" s="30"/>
      <c r="L117" s="947"/>
      <c r="M117" s="941"/>
    </row>
    <row r="118" spans="1:13">
      <c r="A118" s="942">
        <v>9.09</v>
      </c>
      <c r="B118" s="973" t="s">
        <v>634</v>
      </c>
      <c r="C118" s="60" t="s">
        <v>32</v>
      </c>
      <c r="D118" s="974">
        <v>1</v>
      </c>
      <c r="E118" s="974">
        <v>385</v>
      </c>
      <c r="F118" s="975">
        <f t="shared" si="9"/>
        <v>385</v>
      </c>
      <c r="G118" s="939"/>
      <c r="H118" s="939"/>
      <c r="I118" s="38"/>
      <c r="J118" s="460"/>
      <c r="K118" s="30"/>
      <c r="L118" s="947"/>
      <c r="M118" s="941"/>
    </row>
    <row r="119" spans="1:13">
      <c r="A119" s="942">
        <v>9.1</v>
      </c>
      <c r="B119" s="973" t="s">
        <v>635</v>
      </c>
      <c r="C119" s="60" t="s">
        <v>32</v>
      </c>
      <c r="D119" s="974">
        <v>1</v>
      </c>
      <c r="E119" s="974">
        <v>325</v>
      </c>
      <c r="F119" s="975">
        <f t="shared" si="9"/>
        <v>325</v>
      </c>
      <c r="G119" s="939"/>
      <c r="H119" s="939"/>
      <c r="I119" s="38"/>
      <c r="J119" s="460"/>
      <c r="K119" s="30"/>
      <c r="L119" s="947"/>
      <c r="M119" s="941"/>
    </row>
    <row r="120" spans="1:13">
      <c r="A120" s="942">
        <v>9.11</v>
      </c>
      <c r="B120" s="973" t="s">
        <v>320</v>
      </c>
      <c r="C120" s="60" t="s">
        <v>55</v>
      </c>
      <c r="D120" s="974">
        <v>1</v>
      </c>
      <c r="E120" s="974">
        <v>6000</v>
      </c>
      <c r="F120" s="975">
        <f t="shared" si="9"/>
        <v>6000</v>
      </c>
      <c r="G120" s="939"/>
      <c r="H120" s="939"/>
      <c r="I120" s="38"/>
      <c r="J120" s="460"/>
      <c r="K120" s="30"/>
      <c r="L120" s="947"/>
      <c r="M120" s="941"/>
    </row>
    <row r="121" spans="1:13">
      <c r="A121" s="942"/>
      <c r="B121" s="887" t="s">
        <v>636</v>
      </c>
      <c r="C121" s="50"/>
      <c r="D121" s="977"/>
      <c r="E121" s="977"/>
      <c r="F121" s="952">
        <f>SUM(F110:F120)</f>
        <v>26880</v>
      </c>
      <c r="G121" s="939"/>
      <c r="H121" s="939"/>
      <c r="I121" s="979"/>
      <c r="J121" s="980"/>
      <c r="K121" s="30"/>
      <c r="L121" s="947"/>
      <c r="M121" s="941"/>
    </row>
    <row r="122" spans="1:13">
      <c r="A122" s="978">
        <v>10</v>
      </c>
      <c r="B122" s="887" t="s">
        <v>637</v>
      </c>
      <c r="C122" s="34"/>
      <c r="D122" s="938"/>
      <c r="E122" s="938"/>
      <c r="F122" s="943"/>
      <c r="G122" s="939"/>
      <c r="H122" s="939"/>
      <c r="I122" s="979"/>
      <c r="J122" s="980"/>
      <c r="K122" s="30"/>
      <c r="L122" s="947"/>
      <c r="M122" s="941"/>
    </row>
    <row r="123" spans="1:13">
      <c r="A123" s="942">
        <v>10.01</v>
      </c>
      <c r="B123" s="973" t="s">
        <v>638</v>
      </c>
      <c r="C123" s="60" t="s">
        <v>38</v>
      </c>
      <c r="D123" s="974">
        <v>399</v>
      </c>
      <c r="E123" s="974">
        <v>1213.101629</v>
      </c>
      <c r="F123" s="986">
        <f>D123*E123</f>
        <v>484027.549971</v>
      </c>
      <c r="G123" s="939"/>
      <c r="H123" s="939"/>
      <c r="I123" s="979"/>
      <c r="J123" s="987"/>
      <c r="K123" s="30"/>
      <c r="L123" s="947"/>
      <c r="M123" s="941"/>
    </row>
    <row r="124" spans="1:13">
      <c r="A124" s="942"/>
      <c r="B124" s="887" t="s">
        <v>639</v>
      </c>
      <c r="C124" s="50"/>
      <c r="D124" s="977"/>
      <c r="E124" s="977"/>
      <c r="F124" s="952">
        <f>F123</f>
        <v>484027.549971</v>
      </c>
      <c r="G124" s="939"/>
      <c r="H124" s="939"/>
      <c r="I124" s="979"/>
      <c r="J124" s="980">
        <v>0</v>
      </c>
      <c r="K124" s="30"/>
      <c r="L124" s="947"/>
      <c r="M124" s="941"/>
    </row>
    <row r="125" spans="1:13">
      <c r="A125" s="978">
        <v>11</v>
      </c>
      <c r="B125" s="983" t="s">
        <v>43</v>
      </c>
      <c r="C125" s="60"/>
      <c r="D125" s="974"/>
      <c r="E125" s="974"/>
      <c r="F125" s="975"/>
      <c r="G125" s="939"/>
      <c r="H125" s="939"/>
      <c r="I125" s="979"/>
      <c r="J125" s="980"/>
      <c r="K125" s="30"/>
      <c r="L125" s="947"/>
      <c r="M125" s="941"/>
    </row>
    <row r="126" spans="1:13">
      <c r="A126" s="942">
        <v>11.01</v>
      </c>
      <c r="B126" s="973" t="s">
        <v>640</v>
      </c>
      <c r="C126" s="60" t="s">
        <v>45</v>
      </c>
      <c r="D126" s="974">
        <v>250.8</v>
      </c>
      <c r="E126" s="974">
        <v>214</v>
      </c>
      <c r="F126" s="975">
        <f t="shared" si="9"/>
        <v>53671.200000000004</v>
      </c>
      <c r="G126" s="939"/>
      <c r="H126" s="939"/>
      <c r="I126" s="979"/>
      <c r="J126" s="980"/>
      <c r="K126" s="30"/>
      <c r="L126" s="947"/>
      <c r="M126" s="941"/>
    </row>
    <row r="127" spans="1:13">
      <c r="A127" s="942">
        <v>11.02</v>
      </c>
      <c r="B127" s="973" t="s">
        <v>641</v>
      </c>
      <c r="C127" s="60" t="s">
        <v>45</v>
      </c>
      <c r="D127" s="974">
        <v>22.8</v>
      </c>
      <c r="E127" s="974">
        <v>950</v>
      </c>
      <c r="F127" s="975">
        <f t="shared" si="9"/>
        <v>21660</v>
      </c>
      <c r="G127" s="939"/>
      <c r="H127" s="939"/>
      <c r="I127" s="979"/>
      <c r="J127" s="980"/>
      <c r="K127" s="30"/>
      <c r="L127" s="947"/>
      <c r="M127" s="941"/>
    </row>
    <row r="128" spans="1:13">
      <c r="A128" s="942">
        <v>11.03</v>
      </c>
      <c r="B128" s="973" t="s">
        <v>642</v>
      </c>
      <c r="C128" s="60" t="s">
        <v>45</v>
      </c>
      <c r="D128" s="974">
        <v>86.64</v>
      </c>
      <c r="E128" s="974">
        <v>545</v>
      </c>
      <c r="F128" s="975">
        <f t="shared" si="9"/>
        <v>47218.8</v>
      </c>
      <c r="G128" s="939"/>
      <c r="H128" s="939"/>
      <c r="I128" s="979"/>
      <c r="J128" s="980"/>
      <c r="K128" s="30"/>
      <c r="L128" s="947"/>
      <c r="M128" s="941"/>
    </row>
    <row r="129" spans="1:13">
      <c r="A129" s="942">
        <v>11.04</v>
      </c>
      <c r="B129" s="973" t="s">
        <v>47</v>
      </c>
      <c r="C129" s="60" t="s">
        <v>45</v>
      </c>
      <c r="D129" s="974">
        <v>128.04</v>
      </c>
      <c r="E129" s="974">
        <v>250.00937200000001</v>
      </c>
      <c r="F129" s="975">
        <f t="shared" si="9"/>
        <v>32011.199990879999</v>
      </c>
      <c r="G129" s="939"/>
      <c r="H129" s="939"/>
      <c r="I129" s="979"/>
      <c r="J129" s="980"/>
      <c r="K129" s="30"/>
      <c r="L129" s="947"/>
      <c r="M129" s="941"/>
    </row>
    <row r="130" spans="1:13">
      <c r="A130" s="942">
        <v>11.05</v>
      </c>
      <c r="B130" s="973" t="s">
        <v>643</v>
      </c>
      <c r="C130" s="60" t="s">
        <v>45</v>
      </c>
      <c r="D130" s="974">
        <v>136.80000000000001</v>
      </c>
      <c r="E130" s="974">
        <v>750</v>
      </c>
      <c r="F130" s="975">
        <f t="shared" si="9"/>
        <v>102600.00000000001</v>
      </c>
      <c r="G130" s="939"/>
      <c r="H130" s="939"/>
      <c r="I130" s="979"/>
      <c r="J130" s="980"/>
      <c r="K130" s="30"/>
      <c r="L130" s="947"/>
      <c r="M130" s="941"/>
    </row>
    <row r="131" spans="1:13">
      <c r="A131" s="942"/>
      <c r="B131" s="983" t="s">
        <v>49</v>
      </c>
      <c r="C131" s="984"/>
      <c r="D131" s="985"/>
      <c r="E131" s="985"/>
      <c r="F131" s="952">
        <f>SUM(F126:F130)</f>
        <v>257161.19999088004</v>
      </c>
      <c r="G131" s="939"/>
      <c r="H131" s="939"/>
      <c r="I131" s="979"/>
      <c r="J131" s="980"/>
      <c r="K131" s="30"/>
      <c r="L131" s="940"/>
      <c r="M131" s="941"/>
    </row>
    <row r="132" spans="1:13">
      <c r="A132" s="942"/>
      <c r="B132" s="887" t="s">
        <v>644</v>
      </c>
      <c r="C132" s="34"/>
      <c r="D132" s="938"/>
      <c r="E132" s="938"/>
      <c r="F132" s="943"/>
      <c r="G132" s="939"/>
      <c r="H132" s="939"/>
      <c r="I132" s="979"/>
      <c r="J132" s="980"/>
      <c r="K132" s="30"/>
      <c r="L132" s="940"/>
      <c r="M132" s="941"/>
    </row>
    <row r="133" spans="1:13">
      <c r="A133" s="978">
        <v>12</v>
      </c>
      <c r="B133" s="887" t="s">
        <v>645</v>
      </c>
      <c r="C133" s="34"/>
      <c r="D133" s="938"/>
      <c r="E133" s="938"/>
      <c r="F133" s="943"/>
      <c r="G133" s="939"/>
      <c r="H133" s="939"/>
      <c r="I133" s="979"/>
      <c r="J133" s="980"/>
      <c r="K133" s="30"/>
      <c r="L133" s="947"/>
      <c r="M133" s="941"/>
    </row>
    <row r="134" spans="1:13">
      <c r="A134" s="942">
        <v>12.01</v>
      </c>
      <c r="B134" s="888" t="s">
        <v>646</v>
      </c>
      <c r="C134" s="34" t="s">
        <v>38</v>
      </c>
      <c r="D134" s="938">
        <v>840</v>
      </c>
      <c r="E134" s="938">
        <v>355.65146399999998</v>
      </c>
      <c r="F134" s="943">
        <f t="shared" si="9"/>
        <v>298747.22975999996</v>
      </c>
      <c r="G134" s="939">
        <v>840</v>
      </c>
      <c r="H134" s="939"/>
      <c r="I134" s="38">
        <f>G134+H134</f>
        <v>840</v>
      </c>
      <c r="J134" s="460">
        <f>I134/D134</f>
        <v>1</v>
      </c>
      <c r="K134" s="988">
        <f>G134*E134</f>
        <v>298747.22975999996</v>
      </c>
      <c r="L134" s="947">
        <f>H134*E134</f>
        <v>0</v>
      </c>
      <c r="M134" s="941">
        <f t="shared" ref="M134:M135" si="10">K134+L134</f>
        <v>298747.22975999996</v>
      </c>
    </row>
    <row r="135" spans="1:13">
      <c r="A135" s="942"/>
      <c r="B135" s="887" t="s">
        <v>647</v>
      </c>
      <c r="C135" s="50"/>
      <c r="D135" s="977"/>
      <c r="E135" s="977"/>
      <c r="F135" s="952">
        <f>F134</f>
        <v>298747.22975999996</v>
      </c>
      <c r="G135" s="939"/>
      <c r="H135" s="939"/>
      <c r="I135" s="979"/>
      <c r="J135" s="980"/>
      <c r="K135" s="989">
        <f>SUM(K134)</f>
        <v>298747.22975999996</v>
      </c>
      <c r="L135" s="970">
        <f>SUM(L134)</f>
        <v>0</v>
      </c>
      <c r="M135" s="959">
        <f t="shared" si="10"/>
        <v>298747.22975999996</v>
      </c>
    </row>
    <row r="136" spans="1:13">
      <c r="A136" s="978">
        <v>13</v>
      </c>
      <c r="B136" s="887" t="s">
        <v>43</v>
      </c>
      <c r="C136" s="34"/>
      <c r="D136" s="938"/>
      <c r="E136" s="938"/>
      <c r="F136" s="943"/>
      <c r="G136" s="939"/>
      <c r="H136" s="939"/>
      <c r="I136" s="979"/>
      <c r="J136" s="980"/>
      <c r="K136" s="30"/>
      <c r="L136" s="947"/>
      <c r="M136" s="941"/>
    </row>
    <row r="137" spans="1:13">
      <c r="A137" s="942">
        <v>13.01</v>
      </c>
      <c r="B137" s="888" t="s">
        <v>44</v>
      </c>
      <c r="C137" s="34" t="s">
        <v>45</v>
      </c>
      <c r="D137" s="938">
        <v>528</v>
      </c>
      <c r="E137" s="938">
        <v>214</v>
      </c>
      <c r="F137" s="943">
        <f t="shared" si="9"/>
        <v>112992</v>
      </c>
      <c r="G137" s="939">
        <v>528</v>
      </c>
      <c r="H137" s="939"/>
      <c r="I137" s="38">
        <f>G137+H137</f>
        <v>528</v>
      </c>
      <c r="J137" s="460">
        <f>I137/D137</f>
        <v>1</v>
      </c>
      <c r="K137" s="988">
        <f>G137*E137</f>
        <v>112992</v>
      </c>
      <c r="L137" s="947"/>
      <c r="M137" s="941"/>
    </row>
    <row r="138" spans="1:13">
      <c r="A138" s="942">
        <v>13.02</v>
      </c>
      <c r="B138" s="888" t="s">
        <v>641</v>
      </c>
      <c r="C138" s="34" t="s">
        <v>45</v>
      </c>
      <c r="D138" s="938">
        <v>48</v>
      </c>
      <c r="E138" s="938">
        <v>950</v>
      </c>
      <c r="F138" s="943">
        <f t="shared" si="9"/>
        <v>45600</v>
      </c>
      <c r="G138" s="939">
        <v>48</v>
      </c>
      <c r="H138" s="939"/>
      <c r="I138" s="38">
        <f>G138+H138</f>
        <v>48</v>
      </c>
      <c r="J138" s="460">
        <f>I138/D138</f>
        <v>1</v>
      </c>
      <c r="K138" s="988">
        <f t="shared" ref="K138:K141" si="11">G138*E138</f>
        <v>45600</v>
      </c>
      <c r="L138" s="947"/>
      <c r="M138" s="941"/>
    </row>
    <row r="139" spans="1:13">
      <c r="A139" s="942">
        <v>13.03</v>
      </c>
      <c r="B139" s="888" t="s">
        <v>648</v>
      </c>
      <c r="C139" s="34" t="s">
        <v>45</v>
      </c>
      <c r="D139" s="938">
        <v>182.4</v>
      </c>
      <c r="E139" s="938">
        <v>545</v>
      </c>
      <c r="F139" s="943">
        <f t="shared" si="9"/>
        <v>99408</v>
      </c>
      <c r="G139" s="939">
        <v>182.4</v>
      </c>
      <c r="H139" s="939"/>
      <c r="I139" s="38">
        <f>G139+H139</f>
        <v>182.4</v>
      </c>
      <c r="J139" s="460">
        <f>I139/D139</f>
        <v>1</v>
      </c>
      <c r="K139" s="988">
        <f t="shared" si="11"/>
        <v>99408</v>
      </c>
      <c r="L139" s="947"/>
      <c r="M139" s="941"/>
    </row>
    <row r="140" spans="1:13">
      <c r="A140" s="942">
        <v>13.04</v>
      </c>
      <c r="B140" s="888" t="s">
        <v>126</v>
      </c>
      <c r="C140" s="34" t="s">
        <v>45</v>
      </c>
      <c r="D140" s="938">
        <v>269.57</v>
      </c>
      <c r="E140" s="938">
        <v>250</v>
      </c>
      <c r="F140" s="943">
        <f>D140*E140-0.5</f>
        <v>67392</v>
      </c>
      <c r="G140" s="939">
        <v>269.57</v>
      </c>
      <c r="H140" s="939"/>
      <c r="I140" s="38">
        <f>G140+H140</f>
        <v>269.57</v>
      </c>
      <c r="J140" s="460">
        <f>I140/D140</f>
        <v>1</v>
      </c>
      <c r="K140" s="988">
        <f t="shared" si="11"/>
        <v>67392.5</v>
      </c>
      <c r="L140" s="947"/>
      <c r="M140" s="941"/>
    </row>
    <row r="141" spans="1:13">
      <c r="A141" s="942">
        <v>13.05</v>
      </c>
      <c r="B141" s="888" t="s">
        <v>649</v>
      </c>
      <c r="C141" s="34" t="s">
        <v>45</v>
      </c>
      <c r="D141" s="938">
        <v>288</v>
      </c>
      <c r="E141" s="938">
        <v>750</v>
      </c>
      <c r="F141" s="943">
        <f>D141*E141</f>
        <v>216000</v>
      </c>
      <c r="G141" s="939">
        <v>288</v>
      </c>
      <c r="H141" s="939"/>
      <c r="I141" s="38">
        <f>G141+H141</f>
        <v>288</v>
      </c>
      <c r="J141" s="460">
        <f>I141/D141</f>
        <v>1</v>
      </c>
      <c r="K141" s="988">
        <f t="shared" si="11"/>
        <v>216000</v>
      </c>
      <c r="L141" s="947"/>
      <c r="M141" s="941"/>
    </row>
    <row r="142" spans="1:13">
      <c r="A142" s="942"/>
      <c r="B142" s="887" t="s">
        <v>49</v>
      </c>
      <c r="C142" s="50"/>
      <c r="D142" s="977"/>
      <c r="E142" s="977"/>
      <c r="F142" s="952">
        <f>SUM(F137:F141)</f>
        <v>541392</v>
      </c>
      <c r="G142" s="939"/>
      <c r="H142" s="939"/>
      <c r="I142" s="38"/>
      <c r="J142" s="460"/>
      <c r="K142" s="40">
        <f>SUM(K137:K141)</f>
        <v>541392.5</v>
      </c>
      <c r="L142" s="970"/>
      <c r="M142" s="959"/>
    </row>
    <row r="143" spans="1:13">
      <c r="A143" s="942"/>
      <c r="B143" s="887"/>
      <c r="C143" s="50"/>
      <c r="D143" s="977"/>
      <c r="E143" s="977"/>
      <c r="F143" s="952"/>
      <c r="G143" s="939"/>
      <c r="H143" s="939"/>
      <c r="I143" s="38"/>
      <c r="J143" s="460"/>
      <c r="K143" s="30"/>
      <c r="L143" s="947"/>
      <c r="M143" s="941"/>
    </row>
    <row r="144" spans="1:13">
      <c r="A144" s="978">
        <v>14</v>
      </c>
      <c r="B144" s="887" t="s">
        <v>650</v>
      </c>
      <c r="C144" s="34" t="s">
        <v>32</v>
      </c>
      <c r="D144" s="938">
        <v>300</v>
      </c>
      <c r="E144" s="938">
        <v>2548</v>
      </c>
      <c r="F144" s="943">
        <f>D144*E144</f>
        <v>764400</v>
      </c>
      <c r="G144" s="939">
        <v>200</v>
      </c>
      <c r="H144" s="939"/>
      <c r="I144" s="38">
        <f>G144+H144</f>
        <v>200</v>
      </c>
      <c r="J144" s="460">
        <f>I144/D144</f>
        <v>0.66666666666666663</v>
      </c>
      <c r="K144" s="988">
        <f t="shared" ref="K144" si="12">G144*E144</f>
        <v>509600</v>
      </c>
      <c r="L144" s="947"/>
      <c r="M144" s="941"/>
    </row>
    <row r="145" spans="1:13">
      <c r="A145" s="942"/>
      <c r="B145" s="887" t="s">
        <v>651</v>
      </c>
      <c r="C145" s="50"/>
      <c r="D145" s="977"/>
      <c r="E145" s="977"/>
      <c r="F145" s="952">
        <f>F144</f>
        <v>764400</v>
      </c>
      <c r="G145" s="939"/>
      <c r="H145" s="939"/>
      <c r="I145" s="979"/>
      <c r="J145" s="980"/>
      <c r="K145" s="989">
        <f>SUM(K144)</f>
        <v>509600</v>
      </c>
      <c r="L145" s="970"/>
      <c r="M145" s="959"/>
    </row>
    <row r="146" spans="1:13">
      <c r="A146" s="978">
        <v>15</v>
      </c>
      <c r="B146" s="887" t="s">
        <v>652</v>
      </c>
      <c r="C146" s="34"/>
      <c r="D146" s="938"/>
      <c r="E146" s="938"/>
      <c r="F146" s="943"/>
      <c r="G146" s="939"/>
      <c r="H146" s="939"/>
      <c r="I146" s="979"/>
      <c r="J146" s="980"/>
      <c r="K146" s="30"/>
      <c r="L146" s="947"/>
      <c r="M146" s="941"/>
    </row>
    <row r="147" spans="1:13">
      <c r="A147" s="942">
        <v>15.01</v>
      </c>
      <c r="B147" s="888" t="s">
        <v>653</v>
      </c>
      <c r="C147" s="34" t="s">
        <v>32</v>
      </c>
      <c r="D147" s="938">
        <v>5</v>
      </c>
      <c r="E147" s="938">
        <v>4282</v>
      </c>
      <c r="F147" s="943">
        <f>D147*E147</f>
        <v>21410</v>
      </c>
      <c r="G147" s="939"/>
      <c r="H147" s="939"/>
      <c r="I147" s="979"/>
      <c r="J147" s="980"/>
      <c r="K147" s="30"/>
      <c r="L147" s="947"/>
      <c r="M147" s="941"/>
    </row>
    <row r="148" spans="1:13">
      <c r="A148" s="942">
        <v>15.02</v>
      </c>
      <c r="B148" s="888" t="s">
        <v>654</v>
      </c>
      <c r="C148" s="34" t="s">
        <v>32</v>
      </c>
      <c r="D148" s="938">
        <v>5</v>
      </c>
      <c r="E148" s="938">
        <v>900</v>
      </c>
      <c r="F148" s="943">
        <f>D148*E148</f>
        <v>4500</v>
      </c>
      <c r="G148" s="939"/>
      <c r="H148" s="939"/>
      <c r="I148" s="979"/>
      <c r="J148" s="980"/>
      <c r="K148" s="30"/>
      <c r="L148" s="947"/>
      <c r="M148" s="941"/>
    </row>
    <row r="149" spans="1:13">
      <c r="A149" s="964"/>
      <c r="B149" s="990" t="s">
        <v>655</v>
      </c>
      <c r="C149" s="991"/>
      <c r="D149" s="992"/>
      <c r="E149" s="992"/>
      <c r="F149" s="993">
        <f>SUM(F147:F148)</f>
        <v>25910</v>
      </c>
      <c r="G149" s="963"/>
      <c r="H149" s="963"/>
      <c r="I149" s="994"/>
      <c r="J149" s="995"/>
      <c r="K149" s="996"/>
      <c r="L149" s="947"/>
      <c r="M149" s="997"/>
    </row>
    <row r="150" spans="1:13">
      <c r="A150" s="46">
        <v>16</v>
      </c>
      <c r="B150" s="182" t="s">
        <v>656</v>
      </c>
      <c r="C150" s="50"/>
      <c r="D150" s="70"/>
      <c r="E150" s="70"/>
      <c r="F150" s="43"/>
      <c r="G150" s="27"/>
      <c r="H150" s="27"/>
      <c r="I150" s="38"/>
      <c r="J150" s="39"/>
      <c r="K150" s="30"/>
      <c r="L150" s="41"/>
      <c r="M150" s="31"/>
    </row>
    <row r="151" spans="1:13">
      <c r="A151" s="942">
        <v>16.010000000000002</v>
      </c>
      <c r="B151" s="888" t="s">
        <v>657</v>
      </c>
      <c r="C151" s="34" t="s">
        <v>55</v>
      </c>
      <c r="D151" s="938">
        <v>1</v>
      </c>
      <c r="E151" s="938">
        <v>8500</v>
      </c>
      <c r="F151" s="943">
        <f>D151*E151</f>
        <v>8500</v>
      </c>
      <c r="G151" s="939">
        <v>1</v>
      </c>
      <c r="H151" s="939"/>
      <c r="I151" s="38">
        <f>G151+H151</f>
        <v>1</v>
      </c>
      <c r="J151" s="460">
        <f>I151/D151</f>
        <v>1</v>
      </c>
      <c r="K151" s="988">
        <f>G151*E151</f>
        <v>8500</v>
      </c>
      <c r="L151" s="947">
        <f>H151*E151</f>
        <v>0</v>
      </c>
      <c r="M151" s="941">
        <f>K151+L151</f>
        <v>8500</v>
      </c>
    </row>
    <row r="152" spans="1:13">
      <c r="A152" s="942">
        <v>16.02</v>
      </c>
      <c r="B152" s="888" t="s">
        <v>658</v>
      </c>
      <c r="C152" s="34" t="s">
        <v>222</v>
      </c>
      <c r="D152" s="938">
        <v>30</v>
      </c>
      <c r="E152" s="938">
        <v>7600</v>
      </c>
      <c r="F152" s="943">
        <f>D152*E152</f>
        <v>228000</v>
      </c>
      <c r="G152" s="939">
        <v>30</v>
      </c>
      <c r="H152" s="939"/>
      <c r="I152" s="38">
        <f>G152+H152</f>
        <v>30</v>
      </c>
      <c r="J152" s="460">
        <f>I152/D152</f>
        <v>1</v>
      </c>
      <c r="K152" s="988">
        <f>G152*E152</f>
        <v>228000</v>
      </c>
      <c r="L152" s="947">
        <f>H152*E152</f>
        <v>0</v>
      </c>
      <c r="M152" s="941">
        <f>K152+L152</f>
        <v>228000</v>
      </c>
    </row>
    <row r="153" spans="1:13">
      <c r="A153" s="942">
        <v>16.03</v>
      </c>
      <c r="B153" s="888" t="s">
        <v>565</v>
      </c>
      <c r="C153" s="34" t="s">
        <v>222</v>
      </c>
      <c r="D153" s="938">
        <v>235</v>
      </c>
      <c r="E153" s="938">
        <v>552</v>
      </c>
      <c r="F153" s="943">
        <f>D153*E153</f>
        <v>129720</v>
      </c>
      <c r="G153" s="939">
        <v>235</v>
      </c>
      <c r="H153" s="939"/>
      <c r="I153" s="38">
        <f>G153+H153</f>
        <v>235</v>
      </c>
      <c r="J153" s="460">
        <f>I153/D153</f>
        <v>1</v>
      </c>
      <c r="K153" s="988">
        <f>G153*E153</f>
        <v>129720</v>
      </c>
      <c r="L153" s="947">
        <f>H153*E153</f>
        <v>0</v>
      </c>
      <c r="M153" s="941">
        <f>K153+L153</f>
        <v>129720</v>
      </c>
    </row>
    <row r="154" spans="1:13">
      <c r="A154" s="942">
        <v>16.04</v>
      </c>
      <c r="B154" s="973" t="s">
        <v>659</v>
      </c>
      <c r="C154" s="60" t="s">
        <v>32</v>
      </c>
      <c r="D154" s="974">
        <v>1</v>
      </c>
      <c r="E154" s="974">
        <v>17668</v>
      </c>
      <c r="F154" s="975">
        <f>D154*E154</f>
        <v>17668</v>
      </c>
      <c r="G154" s="939"/>
      <c r="H154" s="939"/>
      <c r="I154" s="979"/>
      <c r="J154" s="980"/>
      <c r="K154" s="989">
        <f>SUM(K151:K153)</f>
        <v>366220</v>
      </c>
      <c r="L154" s="970">
        <f>SUM(L151:L153)</f>
        <v>0</v>
      </c>
      <c r="M154" s="959">
        <f>SUM(M151:M153)</f>
        <v>366220</v>
      </c>
    </row>
    <row r="155" spans="1:13">
      <c r="A155" s="942">
        <v>16.05</v>
      </c>
      <c r="B155" s="973" t="s">
        <v>660</v>
      </c>
      <c r="C155" s="60" t="s">
        <v>32</v>
      </c>
      <c r="D155" s="974">
        <v>1</v>
      </c>
      <c r="E155" s="974">
        <v>19650</v>
      </c>
      <c r="F155" s="975">
        <f>D155*E155</f>
        <v>19650</v>
      </c>
      <c r="G155" s="939"/>
      <c r="H155" s="939"/>
      <c r="I155" s="979"/>
      <c r="J155" s="980"/>
      <c r="K155" s="30"/>
      <c r="L155" s="947"/>
      <c r="M155" s="941"/>
    </row>
    <row r="156" spans="1:13">
      <c r="A156" s="942"/>
      <c r="B156" s="887" t="s">
        <v>661</v>
      </c>
      <c r="C156" s="50"/>
      <c r="D156" s="977"/>
      <c r="E156" s="977"/>
      <c r="F156" s="952">
        <f>SUM(F151:F155)</f>
        <v>403538</v>
      </c>
      <c r="G156" s="939"/>
      <c r="H156" s="939"/>
      <c r="I156" s="979"/>
      <c r="J156" s="980"/>
      <c r="K156" s="30"/>
      <c r="L156" s="947"/>
      <c r="M156" s="941"/>
    </row>
    <row r="157" spans="1:13">
      <c r="A157" s="978">
        <v>17</v>
      </c>
      <c r="B157" s="887" t="s">
        <v>662</v>
      </c>
      <c r="C157" s="34"/>
      <c r="D157" s="938"/>
      <c r="E157" s="938"/>
      <c r="F157" s="943"/>
      <c r="G157" s="939"/>
      <c r="H157" s="939"/>
      <c r="I157" s="979"/>
      <c r="J157" s="980"/>
      <c r="K157" s="30"/>
      <c r="L157" s="947"/>
      <c r="M157" s="941"/>
    </row>
    <row r="158" spans="1:13">
      <c r="A158" s="942">
        <v>17.010000000000002</v>
      </c>
      <c r="B158" s="888" t="s">
        <v>663</v>
      </c>
      <c r="C158" s="34" t="s">
        <v>55</v>
      </c>
      <c r="D158" s="938">
        <v>1</v>
      </c>
      <c r="E158" s="938">
        <v>2960000</v>
      </c>
      <c r="F158" s="943">
        <f>D158*E158</f>
        <v>2960000</v>
      </c>
      <c r="G158" s="944">
        <v>1</v>
      </c>
      <c r="H158" s="944"/>
      <c r="I158" s="38">
        <f>G158+H158</f>
        <v>1</v>
      </c>
      <c r="J158" s="460">
        <f>I158/D158</f>
        <v>1</v>
      </c>
      <c r="K158" s="988">
        <f>G158*E158</f>
        <v>2960000</v>
      </c>
      <c r="L158" s="947">
        <f>H158*E158</f>
        <v>0</v>
      </c>
      <c r="M158" s="941">
        <f>K158+L158</f>
        <v>2960000</v>
      </c>
    </row>
    <row r="159" spans="1:13">
      <c r="A159" s="942"/>
      <c r="B159" s="887" t="s">
        <v>664</v>
      </c>
      <c r="C159" s="50"/>
      <c r="D159" s="977"/>
      <c r="E159" s="977"/>
      <c r="F159" s="977">
        <f>F158</f>
        <v>2960000</v>
      </c>
      <c r="G159" s="939"/>
      <c r="H159" s="939"/>
      <c r="I159" s="939"/>
      <c r="J159" s="460"/>
      <c r="K159" s="989">
        <f>SUM(K158)</f>
        <v>2960000</v>
      </c>
      <c r="L159" s="970">
        <f>SUM(L158)</f>
        <v>0</v>
      </c>
      <c r="M159" s="959">
        <f>K159+L159</f>
        <v>2960000</v>
      </c>
    </row>
    <row r="160" spans="1:13">
      <c r="A160" s="977"/>
      <c r="B160" s="977" t="s">
        <v>665</v>
      </c>
      <c r="C160" s="977"/>
      <c r="D160" s="977"/>
      <c r="E160" s="977"/>
      <c r="F160" s="977">
        <f>F159+F156+F149+F145+F142+F135+F131+F124+F121+F108+F98+F79+F58+F41+F23+F15+F26</f>
        <v>11865338.77122188</v>
      </c>
      <c r="G160" s="939"/>
      <c r="H160" s="939"/>
      <c r="I160" s="939"/>
      <c r="J160" s="939"/>
      <c r="K160" s="969">
        <f>K159+K154+K135+K23+K15+K26+K145+K142+K41</f>
        <v>5815644.7412599996</v>
      </c>
      <c r="L160" s="969">
        <f>L159++L145+L142+L41</f>
        <v>0</v>
      </c>
      <c r="M160" s="959">
        <f>K160+L160</f>
        <v>5815644.7412599996</v>
      </c>
    </row>
    <row r="162" spans="1:13">
      <c r="A162" s="1213" t="s">
        <v>666</v>
      </c>
      <c r="B162" s="1213"/>
      <c r="C162" s="1213"/>
      <c r="D162" s="1213"/>
      <c r="E162" s="1213"/>
      <c r="F162" s="1213"/>
      <c r="G162" s="1213"/>
      <c r="H162" s="1213"/>
      <c r="I162" s="1213"/>
      <c r="J162" s="1213"/>
      <c r="K162" s="1213"/>
      <c r="L162" s="1213"/>
      <c r="M162" s="1213"/>
    </row>
    <row r="163" spans="1:13">
      <c r="A163" s="1229" t="s">
        <v>191</v>
      </c>
      <c r="B163" s="1229"/>
      <c r="C163" s="1229"/>
      <c r="D163" s="1229"/>
      <c r="E163" s="1229"/>
      <c r="F163" s="1229"/>
      <c r="G163" s="1230" t="s">
        <v>17</v>
      </c>
      <c r="H163" s="1230"/>
      <c r="I163" s="1230"/>
      <c r="J163" s="1230"/>
      <c r="K163" s="1231" t="s">
        <v>18</v>
      </c>
      <c r="L163" s="1231"/>
      <c r="M163" s="1231"/>
    </row>
    <row r="164" spans="1:13">
      <c r="A164" s="893" t="s">
        <v>19</v>
      </c>
      <c r="B164" s="894" t="s">
        <v>20</v>
      </c>
      <c r="C164" s="894" t="s">
        <v>21</v>
      </c>
      <c r="D164" s="894" t="s">
        <v>90</v>
      </c>
      <c r="E164" s="895" t="s">
        <v>23</v>
      </c>
      <c r="F164" s="895" t="s">
        <v>24</v>
      </c>
      <c r="G164" s="896" t="s">
        <v>25</v>
      </c>
      <c r="H164" s="896" t="s">
        <v>26</v>
      </c>
      <c r="I164" s="897" t="s">
        <v>27</v>
      </c>
      <c r="J164" s="898" t="s">
        <v>28</v>
      </c>
      <c r="K164" s="899" t="s">
        <v>25</v>
      </c>
      <c r="L164" s="900" t="s">
        <v>26</v>
      </c>
      <c r="M164" s="900" t="s">
        <v>27</v>
      </c>
    </row>
    <row r="165" spans="1:13">
      <c r="A165" s="998">
        <v>1</v>
      </c>
      <c r="B165" s="999" t="s">
        <v>667</v>
      </c>
      <c r="C165" s="1000"/>
      <c r="D165" s="1001"/>
      <c r="E165" s="1001"/>
      <c r="F165" s="1001"/>
      <c r="G165" s="1002"/>
      <c r="H165" s="1002"/>
      <c r="I165" s="1003"/>
      <c r="J165" s="1004"/>
      <c r="K165" s="1005"/>
      <c r="L165" s="1006"/>
      <c r="M165" s="1006"/>
    </row>
    <row r="166" spans="1:13">
      <c r="A166" s="998">
        <v>1.01</v>
      </c>
      <c r="B166" s="1007" t="s">
        <v>668</v>
      </c>
      <c r="C166" s="1000" t="s">
        <v>222</v>
      </c>
      <c r="D166" s="1001">
        <v>235</v>
      </c>
      <c r="E166" s="1001">
        <v>301.77999999999997</v>
      </c>
      <c r="F166" s="1001">
        <f>D166*E166</f>
        <v>70918.299999999988</v>
      </c>
      <c r="G166" s="1002">
        <v>235</v>
      </c>
      <c r="H166" s="1002"/>
      <c r="I166" s="1003">
        <f>G166+H166</f>
        <v>235</v>
      </c>
      <c r="J166" s="1008">
        <f>I166/D166</f>
        <v>1</v>
      </c>
      <c r="K166" s="988">
        <f>G166*E166</f>
        <v>70918.299999999988</v>
      </c>
      <c r="L166" s="1006"/>
      <c r="M166" s="1006">
        <f t="shared" ref="M166:M171" si="13">K166+L166</f>
        <v>70918.299999999988</v>
      </c>
    </row>
    <row r="167" spans="1:13">
      <c r="A167" s="998">
        <v>1.02</v>
      </c>
      <c r="B167" s="1009" t="s">
        <v>669</v>
      </c>
      <c r="C167" s="1000" t="s">
        <v>32</v>
      </c>
      <c r="D167" s="1001">
        <v>1</v>
      </c>
      <c r="E167" s="1001">
        <v>155000</v>
      </c>
      <c r="F167" s="1001">
        <f>D167*E167</f>
        <v>155000</v>
      </c>
      <c r="G167" s="1002">
        <v>1</v>
      </c>
      <c r="H167" s="1002"/>
      <c r="I167" s="1003">
        <f>G167+H167</f>
        <v>1</v>
      </c>
      <c r="J167" s="1008">
        <f>I167/D167</f>
        <v>1</v>
      </c>
      <c r="K167" s="988">
        <f>G167*E167</f>
        <v>155000</v>
      </c>
      <c r="L167" s="1006"/>
      <c r="M167" s="1006">
        <f t="shared" si="13"/>
        <v>155000</v>
      </c>
    </row>
    <row r="168" spans="1:13">
      <c r="A168" s="998">
        <v>1.03</v>
      </c>
      <c r="B168" s="1009" t="s">
        <v>670</v>
      </c>
      <c r="C168" s="1000" t="s">
        <v>32</v>
      </c>
      <c r="D168" s="1001">
        <v>4</v>
      </c>
      <c r="E168" s="1001">
        <v>4800</v>
      </c>
      <c r="F168" s="1001">
        <f>D168*E168</f>
        <v>19200</v>
      </c>
      <c r="G168" s="1002">
        <v>4</v>
      </c>
      <c r="H168" s="1002"/>
      <c r="I168" s="1003">
        <f>G168+H168</f>
        <v>4</v>
      </c>
      <c r="J168" s="1008">
        <f>I168/D168</f>
        <v>1</v>
      </c>
      <c r="K168" s="988">
        <f>G168*E168</f>
        <v>19200</v>
      </c>
      <c r="L168" s="1006"/>
      <c r="M168" s="1006">
        <f t="shared" si="13"/>
        <v>19200</v>
      </c>
    </row>
    <row r="169" spans="1:13">
      <c r="A169" s="998">
        <v>1.04</v>
      </c>
      <c r="B169" s="1009" t="s">
        <v>671</v>
      </c>
      <c r="C169" s="1010" t="s">
        <v>32</v>
      </c>
      <c r="D169" s="1011">
        <v>1</v>
      </c>
      <c r="E169" s="1011">
        <v>35500</v>
      </c>
      <c r="F169" s="1011">
        <f>D169*E169</f>
        <v>35500</v>
      </c>
      <c r="G169" s="1002">
        <v>1</v>
      </c>
      <c r="H169" s="1002"/>
      <c r="I169" s="1003">
        <f>G169+H169</f>
        <v>1</v>
      </c>
      <c r="J169" s="1008">
        <f>I169/D169</f>
        <v>1</v>
      </c>
      <c r="K169" s="988">
        <f>G169*E169</f>
        <v>35500</v>
      </c>
      <c r="L169" s="1006"/>
      <c r="M169" s="1006">
        <f t="shared" si="13"/>
        <v>35500</v>
      </c>
    </row>
    <row r="170" spans="1:13">
      <c r="A170" s="998">
        <v>1.05</v>
      </c>
      <c r="B170" s="1009" t="s">
        <v>672</v>
      </c>
      <c r="C170" s="1010" t="s">
        <v>32</v>
      </c>
      <c r="D170" s="1011">
        <v>1</v>
      </c>
      <c r="E170" s="1011">
        <v>37500</v>
      </c>
      <c r="F170" s="1011">
        <f>D170*E170</f>
        <v>37500</v>
      </c>
      <c r="G170" s="1002">
        <v>1</v>
      </c>
      <c r="H170" s="1002"/>
      <c r="I170" s="1003">
        <f>G170+H170</f>
        <v>1</v>
      </c>
      <c r="J170" s="1008">
        <f>I170/D170</f>
        <v>1</v>
      </c>
      <c r="K170" s="988">
        <f>G170*E170</f>
        <v>37500</v>
      </c>
      <c r="L170" s="1006"/>
      <c r="M170" s="1006">
        <f t="shared" si="13"/>
        <v>37500</v>
      </c>
    </row>
    <row r="171" spans="1:13">
      <c r="A171" s="998"/>
      <c r="B171" s="999" t="s">
        <v>661</v>
      </c>
      <c r="C171" s="1000"/>
      <c r="D171" s="1001"/>
      <c r="E171" s="1001"/>
      <c r="F171" s="1012">
        <f>SUM(F166:F170)</f>
        <v>318118.3</v>
      </c>
      <c r="G171" s="1002"/>
      <c r="H171" s="1002"/>
      <c r="I171" s="1003"/>
      <c r="J171" s="1008"/>
      <c r="K171" s="1013">
        <f>SUM(K166:K170)</f>
        <v>318118.3</v>
      </c>
      <c r="L171" s="1014">
        <f>SUM(L166:L170)</f>
        <v>0</v>
      </c>
      <c r="M171" s="1014">
        <f t="shared" si="13"/>
        <v>318118.3</v>
      </c>
    </row>
    <row r="172" spans="1:13">
      <c r="A172" s="998">
        <v>2</v>
      </c>
      <c r="B172" s="999" t="s">
        <v>673</v>
      </c>
      <c r="C172" s="1000"/>
      <c r="D172" s="1001"/>
      <c r="E172" s="1001"/>
      <c r="F172" s="1001"/>
      <c r="G172" s="1002"/>
      <c r="H172" s="1002"/>
      <c r="I172" s="1003"/>
      <c r="J172" s="1004"/>
      <c r="K172" s="1005"/>
      <c r="L172" s="1006"/>
      <c r="M172" s="1006"/>
    </row>
    <row r="173" spans="1:13">
      <c r="A173" s="998">
        <v>2.0099999999999998</v>
      </c>
      <c r="B173" s="1009" t="s">
        <v>674</v>
      </c>
      <c r="C173" s="1010" t="s">
        <v>675</v>
      </c>
      <c r="D173" s="1011">
        <v>12</v>
      </c>
      <c r="E173" s="1011">
        <v>2200</v>
      </c>
      <c r="F173" s="1011">
        <f>D173*E173</f>
        <v>26400</v>
      </c>
      <c r="G173" s="1015">
        <v>12</v>
      </c>
      <c r="H173" s="1015"/>
      <c r="I173" s="1016">
        <f>G173+H173</f>
        <v>12</v>
      </c>
      <c r="J173" s="1017">
        <f>I173/D173</f>
        <v>1</v>
      </c>
      <c r="K173" s="988">
        <f>G173*E173</f>
        <v>26400</v>
      </c>
      <c r="L173" s="1018"/>
      <c r="M173" s="1018">
        <f>K173+L173</f>
        <v>26400</v>
      </c>
    </row>
    <row r="174" spans="1:13">
      <c r="A174" s="998"/>
      <c r="B174" s="999" t="s">
        <v>676</v>
      </c>
      <c r="C174" s="1000"/>
      <c r="D174" s="1001"/>
      <c r="E174" s="1001"/>
      <c r="F174" s="1012">
        <f>SUM(F173)</f>
        <v>26400</v>
      </c>
      <c r="G174" s="1002"/>
      <c r="H174" s="1002"/>
      <c r="I174" s="1003"/>
      <c r="J174" s="1004"/>
      <c r="K174" s="1013">
        <f>SUM(K173)</f>
        <v>26400</v>
      </c>
      <c r="L174" s="1019"/>
      <c r="M174" s="1019">
        <f>K174+L174</f>
        <v>26400</v>
      </c>
    </row>
    <row r="175" spans="1:13">
      <c r="A175" s="998">
        <v>3</v>
      </c>
      <c r="B175" s="999" t="s">
        <v>644</v>
      </c>
      <c r="C175" s="1000"/>
      <c r="D175" s="1001"/>
      <c r="E175" s="1001"/>
      <c r="F175" s="1001"/>
      <c r="G175" s="1002"/>
      <c r="H175" s="1002"/>
      <c r="I175" s="1003"/>
      <c r="J175" s="1004"/>
      <c r="K175" s="1005"/>
      <c r="L175" s="1006"/>
      <c r="M175" s="1006"/>
    </row>
    <row r="176" spans="1:13">
      <c r="A176" s="998">
        <v>3.01</v>
      </c>
      <c r="B176" s="1009" t="s">
        <v>677</v>
      </c>
      <c r="C176" s="1000" t="s">
        <v>38</v>
      </c>
      <c r="D176" s="1011">
        <v>1980</v>
      </c>
      <c r="E176" s="1011">
        <v>85</v>
      </c>
      <c r="F176" s="1011">
        <f>D176*E176</f>
        <v>168300</v>
      </c>
      <c r="G176" s="1002">
        <v>1680</v>
      </c>
      <c r="H176" s="1002"/>
      <c r="I176" s="1003">
        <f>G176+H176</f>
        <v>1680</v>
      </c>
      <c r="J176" s="1008">
        <f>I176/D176</f>
        <v>0.84848484848484851</v>
      </c>
      <c r="K176" s="988">
        <f>G176*E176</f>
        <v>142800</v>
      </c>
      <c r="L176" s="1006"/>
      <c r="M176" s="1006">
        <f>K176+L176</f>
        <v>142800</v>
      </c>
    </row>
    <row r="177" spans="1:13">
      <c r="A177" s="998">
        <v>3.02</v>
      </c>
      <c r="B177" s="1009" t="s">
        <v>678</v>
      </c>
      <c r="C177" s="1010" t="s">
        <v>32</v>
      </c>
      <c r="D177" s="1011">
        <v>6</v>
      </c>
      <c r="E177" s="1020">
        <v>9252.0400000000009</v>
      </c>
      <c r="F177" s="1011">
        <f>D177*E177</f>
        <v>55512.240000000005</v>
      </c>
      <c r="G177" s="1002">
        <v>6</v>
      </c>
      <c r="H177" s="1002"/>
      <c r="I177" s="1003">
        <f>G177+H177</f>
        <v>6</v>
      </c>
      <c r="J177" s="1008">
        <f>I177/D177</f>
        <v>1</v>
      </c>
      <c r="K177" s="988">
        <f>G177*E177</f>
        <v>55512.240000000005</v>
      </c>
      <c r="L177" s="1006"/>
      <c r="M177" s="1006">
        <f>K177+L177</f>
        <v>55512.240000000005</v>
      </c>
    </row>
    <row r="178" spans="1:13">
      <c r="A178" s="998">
        <v>3.03</v>
      </c>
      <c r="B178" s="1021" t="s">
        <v>679</v>
      </c>
      <c r="C178" s="1010" t="s">
        <v>32</v>
      </c>
      <c r="D178" s="1011">
        <v>5</v>
      </c>
      <c r="E178" s="1020">
        <v>6707.3</v>
      </c>
      <c r="F178" s="1011">
        <f>D178*E178</f>
        <v>33536.5</v>
      </c>
      <c r="G178" s="1002">
        <v>5</v>
      </c>
      <c r="H178" s="1002"/>
      <c r="I178" s="1003">
        <f>G178+H178</f>
        <v>5</v>
      </c>
      <c r="J178" s="1008">
        <f>I178/D178</f>
        <v>1</v>
      </c>
      <c r="K178" s="988">
        <f>G178*E178</f>
        <v>33536.5</v>
      </c>
      <c r="L178" s="1006"/>
      <c r="M178" s="1006">
        <f>K178+L178</f>
        <v>33536.5</v>
      </c>
    </row>
    <row r="179" spans="1:13">
      <c r="A179" s="998"/>
      <c r="B179" s="999" t="s">
        <v>647</v>
      </c>
      <c r="C179" s="1000"/>
      <c r="D179" s="1001"/>
      <c r="E179" s="1001"/>
      <c r="F179" s="1012">
        <f>SUM(F176:F178)</f>
        <v>257348.74</v>
      </c>
      <c r="G179" s="1002"/>
      <c r="H179" s="1002"/>
      <c r="I179" s="1003"/>
      <c r="J179" s="1004"/>
      <c r="K179" s="1013">
        <f>SUM(K176:K178)</f>
        <v>231848.74</v>
      </c>
      <c r="L179" s="1014"/>
      <c r="M179" s="1014">
        <f>K179+L179</f>
        <v>231848.74</v>
      </c>
    </row>
    <row r="180" spans="1:13">
      <c r="A180" s="998">
        <v>4</v>
      </c>
      <c r="B180" s="999" t="s">
        <v>680</v>
      </c>
      <c r="C180" s="1000"/>
      <c r="D180" s="1001"/>
      <c r="E180" s="1001"/>
      <c r="F180" s="1001"/>
      <c r="G180" s="1002"/>
      <c r="H180" s="1002"/>
      <c r="I180" s="1003"/>
      <c r="J180" s="1004"/>
      <c r="K180" s="1005"/>
      <c r="L180" s="1006"/>
      <c r="M180" s="1006"/>
    </row>
    <row r="181" spans="1:13">
      <c r="A181" s="998">
        <v>4.01</v>
      </c>
      <c r="B181" s="1009" t="s">
        <v>681</v>
      </c>
      <c r="C181" s="1010" t="s">
        <v>38</v>
      </c>
      <c r="D181" s="1011">
        <v>260</v>
      </c>
      <c r="E181" s="1011">
        <v>628.13</v>
      </c>
      <c r="F181" s="1011">
        <f>D181*E181</f>
        <v>163313.79999999999</v>
      </c>
      <c r="G181" s="1002"/>
      <c r="H181" s="1002">
        <f>D181</f>
        <v>260</v>
      </c>
      <c r="I181" s="1003">
        <f>G181+H181</f>
        <v>260</v>
      </c>
      <c r="J181" s="1008">
        <f>I181/D181</f>
        <v>1</v>
      </c>
      <c r="K181" s="1005"/>
      <c r="L181" s="947">
        <f t="shared" ref="L181:L185" si="14">H181*E181</f>
        <v>163313.79999999999</v>
      </c>
      <c r="M181" s="1006">
        <f t="shared" ref="M181:M186" si="15">K181+L181</f>
        <v>163313.79999999999</v>
      </c>
    </row>
    <row r="182" spans="1:13">
      <c r="A182" s="998">
        <v>4.0199999999999996</v>
      </c>
      <c r="B182" s="1009" t="s">
        <v>682</v>
      </c>
      <c r="C182" s="1010" t="s">
        <v>38</v>
      </c>
      <c r="D182" s="1011">
        <v>255</v>
      </c>
      <c r="E182" s="1011">
        <v>628.13</v>
      </c>
      <c r="F182" s="1011">
        <f>D182*E182</f>
        <v>160173.15</v>
      </c>
      <c r="G182" s="1002"/>
      <c r="H182" s="1002">
        <f>D182</f>
        <v>255</v>
      </c>
      <c r="I182" s="1003">
        <f>G182+H182</f>
        <v>255</v>
      </c>
      <c r="J182" s="1008">
        <f>I182/D182</f>
        <v>1</v>
      </c>
      <c r="K182" s="1005"/>
      <c r="L182" s="947">
        <f t="shared" si="14"/>
        <v>160173.15</v>
      </c>
      <c r="M182" s="1006">
        <f t="shared" si="15"/>
        <v>160173.15</v>
      </c>
    </row>
    <row r="183" spans="1:13">
      <c r="A183" s="1022">
        <v>5</v>
      </c>
      <c r="B183" s="999" t="s">
        <v>683</v>
      </c>
      <c r="C183" s="1000"/>
      <c r="D183" s="1001"/>
      <c r="E183" s="1001"/>
      <c r="F183" s="1012">
        <f>SUM(F181:F182)</f>
        <v>323486.94999999995</v>
      </c>
      <c r="G183" s="1002"/>
      <c r="H183" s="1002"/>
      <c r="I183" s="1003"/>
      <c r="J183" s="1004"/>
      <c r="K183" s="1005"/>
      <c r="L183" s="1014">
        <f>SUM(L181:L182)</f>
        <v>323486.94999999995</v>
      </c>
      <c r="M183" s="1006">
        <f t="shared" si="15"/>
        <v>323486.94999999995</v>
      </c>
    </row>
    <row r="184" spans="1:13">
      <c r="A184" s="998">
        <v>5.01</v>
      </c>
      <c r="B184" s="1009" t="s">
        <v>684</v>
      </c>
      <c r="C184" s="1000" t="s">
        <v>222</v>
      </c>
      <c r="D184" s="1001">
        <v>1140.8</v>
      </c>
      <c r="E184" s="1001">
        <v>750</v>
      </c>
      <c r="F184" s="1011">
        <f>D184*E184</f>
        <v>855600</v>
      </c>
      <c r="G184" s="1002"/>
      <c r="H184" s="1002">
        <v>950</v>
      </c>
      <c r="I184" s="1003">
        <f>G184+H184</f>
        <v>950</v>
      </c>
      <c r="J184" s="1008">
        <f>I184/D184</f>
        <v>0.83274894810659195</v>
      </c>
      <c r="K184" s="1005"/>
      <c r="L184" s="947">
        <f t="shared" si="14"/>
        <v>712500</v>
      </c>
      <c r="M184" s="1006">
        <f t="shared" si="15"/>
        <v>712500</v>
      </c>
    </row>
    <row r="185" spans="1:13">
      <c r="A185" s="998">
        <v>5.0199999999999996</v>
      </c>
      <c r="B185" s="1009" t="s">
        <v>685</v>
      </c>
      <c r="C185" s="1000" t="s">
        <v>686</v>
      </c>
      <c r="D185" s="1001">
        <v>1140.8</v>
      </c>
      <c r="E185" s="1001">
        <v>110</v>
      </c>
      <c r="F185" s="1011">
        <f>D185*E185</f>
        <v>125488</v>
      </c>
      <c r="G185" s="1002"/>
      <c r="H185" s="1002">
        <v>950</v>
      </c>
      <c r="I185" s="1003">
        <f>G185+H185</f>
        <v>950</v>
      </c>
      <c r="J185" s="1008">
        <f>I185/D185</f>
        <v>0.83274894810659195</v>
      </c>
      <c r="K185" s="1005"/>
      <c r="L185" s="947">
        <f t="shared" si="14"/>
        <v>104500</v>
      </c>
      <c r="M185" s="1006">
        <f t="shared" si="15"/>
        <v>104500</v>
      </c>
    </row>
    <row r="186" spans="1:13">
      <c r="A186" s="998"/>
      <c r="B186" s="1023" t="s">
        <v>384</v>
      </c>
      <c r="C186" s="1000"/>
      <c r="D186" s="1000"/>
      <c r="E186" s="1000"/>
      <c r="F186" s="1012">
        <f>SUM(F184:F185)</f>
        <v>981088</v>
      </c>
      <c r="G186" s="1002"/>
      <c r="H186" s="1002"/>
      <c r="I186" s="1002"/>
      <c r="J186" s="1002"/>
      <c r="K186" s="1005"/>
      <c r="L186" s="1024">
        <f>SUM(L184:L185)</f>
        <v>817000</v>
      </c>
      <c r="M186" s="1006">
        <f t="shared" si="15"/>
        <v>817000</v>
      </c>
    </row>
    <row r="187" spans="1:13">
      <c r="A187" s="998"/>
      <c r="B187" s="1023"/>
      <c r="C187" s="1000"/>
      <c r="D187" s="1000"/>
      <c r="E187" s="1000"/>
      <c r="F187" s="1012"/>
      <c r="G187" s="1002"/>
      <c r="H187" s="1002"/>
      <c r="I187" s="1002"/>
      <c r="J187" s="1002"/>
      <c r="K187" s="1005"/>
      <c r="L187" s="1024"/>
      <c r="M187" s="1024"/>
    </row>
    <row r="188" spans="1:13">
      <c r="A188" s="998"/>
      <c r="B188" s="1023" t="s">
        <v>687</v>
      </c>
      <c r="C188" s="1000"/>
      <c r="D188" s="1000"/>
      <c r="E188" s="1000"/>
      <c r="F188" s="1012"/>
      <c r="G188" s="1002"/>
      <c r="H188" s="1002"/>
      <c r="I188" s="1002"/>
      <c r="J188" s="1002"/>
      <c r="K188" s="1005"/>
      <c r="L188" s="1024"/>
      <c r="M188" s="1024"/>
    </row>
    <row r="189" spans="1:13">
      <c r="A189" s="1022">
        <v>6</v>
      </c>
      <c r="B189" s="887" t="s">
        <v>75</v>
      </c>
      <c r="C189" s="1000"/>
      <c r="D189" s="1000"/>
      <c r="E189" s="1000"/>
      <c r="F189" s="1012"/>
      <c r="G189" s="1002"/>
      <c r="H189" s="1002"/>
      <c r="I189" s="1002"/>
      <c r="J189" s="1002"/>
      <c r="K189" s="1005"/>
      <c r="L189" s="1024"/>
      <c r="M189" s="1024"/>
    </row>
    <row r="190" spans="1:13">
      <c r="A190" s="998">
        <f>A189+0.01</f>
        <v>6.01</v>
      </c>
      <c r="B190" s="888" t="s">
        <v>688</v>
      </c>
      <c r="C190" s="1000" t="s">
        <v>545</v>
      </c>
      <c r="D190" s="1000">
        <v>0.37</v>
      </c>
      <c r="E190" s="938">
        <v>40000</v>
      </c>
      <c r="F190" s="1011">
        <f>D190*E190</f>
        <v>14800</v>
      </c>
      <c r="G190" s="1025">
        <v>0.37</v>
      </c>
      <c r="H190" s="1002"/>
      <c r="I190" s="1003">
        <f>G190+H190</f>
        <v>0.37</v>
      </c>
      <c r="J190" s="1008">
        <f>I190/D190</f>
        <v>1</v>
      </c>
      <c r="K190" s="988">
        <f>G190*E190</f>
        <v>14800</v>
      </c>
      <c r="L190" s="947"/>
      <c r="M190" s="1018">
        <f>K190+L190</f>
        <v>14800</v>
      </c>
    </row>
    <row r="191" spans="1:13">
      <c r="A191" s="998">
        <f>A190+0.01</f>
        <v>6.02</v>
      </c>
      <c r="B191" s="888" t="s">
        <v>677</v>
      </c>
      <c r="C191" s="1000" t="s">
        <v>38</v>
      </c>
      <c r="D191" s="1000">
        <v>705.36</v>
      </c>
      <c r="E191" s="938">
        <v>120</v>
      </c>
      <c r="F191" s="1011">
        <f>D191*E191</f>
        <v>84643.199999999997</v>
      </c>
      <c r="G191" s="1025">
        <v>705.36</v>
      </c>
      <c r="H191" s="1002"/>
      <c r="I191" s="1003">
        <f>G191+H191</f>
        <v>705.36</v>
      </c>
      <c r="J191" s="1008">
        <f>I191/D191</f>
        <v>1</v>
      </c>
      <c r="K191" s="988">
        <f>G191*E191</f>
        <v>84643.199999999997</v>
      </c>
      <c r="L191" s="947"/>
      <c r="M191" s="1018">
        <f>K191+L191</f>
        <v>84643.199999999997</v>
      </c>
    </row>
    <row r="192" spans="1:13">
      <c r="A192" s="998"/>
      <c r="B192" s="1023" t="s">
        <v>689</v>
      </c>
      <c r="C192" s="1000"/>
      <c r="D192" s="1000"/>
      <c r="E192" s="938"/>
      <c r="F192" s="1026">
        <f>SUM(F190:F191)</f>
        <v>99443.199999999997</v>
      </c>
      <c r="G192" s="1027"/>
      <c r="H192" s="1002"/>
      <c r="I192" s="1002"/>
      <c r="J192" s="1002"/>
      <c r="K192" s="1013">
        <f>SUM(K190:K191)</f>
        <v>99443.199999999997</v>
      </c>
      <c r="L192" s="1028"/>
      <c r="M192" s="1029">
        <f>K192+L192</f>
        <v>99443.199999999997</v>
      </c>
    </row>
    <row r="193" spans="1:13">
      <c r="A193" s="1022">
        <v>7</v>
      </c>
      <c r="B193" s="887" t="s">
        <v>690</v>
      </c>
      <c r="C193" s="1000"/>
      <c r="D193" s="1000"/>
      <c r="E193" s="1000"/>
      <c r="F193" s="1012"/>
      <c r="G193" s="1027"/>
      <c r="H193" s="1002"/>
      <c r="I193" s="1002"/>
      <c r="J193" s="1002"/>
      <c r="K193" s="1005"/>
      <c r="L193" s="1024"/>
      <c r="M193" s="1024"/>
    </row>
    <row r="194" spans="1:13">
      <c r="A194" s="998">
        <f>A193+0.01</f>
        <v>7.01</v>
      </c>
      <c r="B194" s="888" t="s">
        <v>691</v>
      </c>
      <c r="C194" s="34" t="s">
        <v>38</v>
      </c>
      <c r="D194" s="34">
        <v>370.31</v>
      </c>
      <c r="E194" s="938">
        <v>2170.98</v>
      </c>
      <c r="F194" s="215">
        <f>D194*E194</f>
        <v>803935.60380000004</v>
      </c>
      <c r="G194" s="1030">
        <v>370.31</v>
      </c>
      <c r="H194" s="1002"/>
      <c r="I194" s="1003">
        <f>G194+H194</f>
        <v>370.31</v>
      </c>
      <c r="J194" s="1008">
        <f>I194/D194</f>
        <v>1</v>
      </c>
      <c r="K194" s="988">
        <f>G194*E194</f>
        <v>803935.60380000004</v>
      </c>
      <c r="L194" s="947"/>
      <c r="M194" s="1018">
        <f>K194+L194</f>
        <v>803935.60380000004</v>
      </c>
    </row>
    <row r="195" spans="1:13">
      <c r="A195" s="998"/>
      <c r="B195" s="1023" t="s">
        <v>692</v>
      </c>
      <c r="C195" s="34"/>
      <c r="D195" s="34"/>
      <c r="E195" s="938"/>
      <c r="F195" s="218">
        <f>SUM(F194)</f>
        <v>803935.60380000004</v>
      </c>
      <c r="G195" s="1002"/>
      <c r="H195" s="1002"/>
      <c r="I195" s="1002"/>
      <c r="J195" s="1002"/>
      <c r="K195" s="1013">
        <f>SUM(K194)</f>
        <v>803935.60380000004</v>
      </c>
      <c r="L195" s="1028"/>
      <c r="M195" s="1019">
        <f>K195+L195</f>
        <v>803935.60380000004</v>
      </c>
    </row>
    <row r="196" spans="1:13">
      <c r="A196" s="998"/>
      <c r="B196" s="1023"/>
      <c r="C196" s="34"/>
      <c r="D196" s="34"/>
      <c r="E196" s="938"/>
      <c r="F196" s="938"/>
      <c r="G196" s="1002"/>
      <c r="H196" s="1002"/>
      <c r="I196" s="1002"/>
      <c r="J196" s="1002"/>
      <c r="K196" s="1005"/>
      <c r="L196" s="1024"/>
      <c r="M196" s="1024"/>
    </row>
    <row r="197" spans="1:13">
      <c r="A197" s="1022">
        <v>8</v>
      </c>
      <c r="B197" s="887" t="s">
        <v>43</v>
      </c>
      <c r="C197" s="34"/>
      <c r="D197" s="938"/>
      <c r="E197" s="938"/>
      <c r="F197" s="943"/>
      <c r="G197" s="1002"/>
      <c r="H197" s="1002"/>
      <c r="I197" s="1002"/>
      <c r="J197" s="1002"/>
      <c r="K197" s="1005"/>
      <c r="L197" s="1024"/>
      <c r="M197" s="1024"/>
    </row>
    <row r="198" spans="1:13">
      <c r="A198" s="998">
        <f>A197+0.01</f>
        <v>8.01</v>
      </c>
      <c r="B198" s="888" t="s">
        <v>44</v>
      </c>
      <c r="C198" s="34" t="s">
        <v>45</v>
      </c>
      <c r="D198" s="938">
        <f>352.68*0.6*1.15</f>
        <v>243.3492</v>
      </c>
      <c r="E198" s="938">
        <v>214</v>
      </c>
      <c r="F198" s="943">
        <f>D198*E198</f>
        <v>52076.728799999997</v>
      </c>
      <c r="G198" s="939">
        <f>352.68*0.6*1.15</f>
        <v>243.3492</v>
      </c>
      <c r="H198" s="1002"/>
      <c r="I198" s="1003">
        <f>G198+H198</f>
        <v>243.3492</v>
      </c>
      <c r="J198" s="1008">
        <f>I198/D198</f>
        <v>1</v>
      </c>
      <c r="K198" s="988">
        <f>G198*E198</f>
        <v>52076.728799999997</v>
      </c>
      <c r="L198" s="947"/>
      <c r="M198" s="1018">
        <f t="shared" ref="M198:M203" si="16">K198+L198</f>
        <v>52076.728799999997</v>
      </c>
    </row>
    <row r="199" spans="1:13">
      <c r="A199" s="998">
        <f>A198+0.01</f>
        <v>8.02</v>
      </c>
      <c r="B199" s="888" t="s">
        <v>641</v>
      </c>
      <c r="C199" s="34" t="s">
        <v>45</v>
      </c>
      <c r="D199" s="938">
        <f>352.68*0.6*0.1</f>
        <v>21.160800000000002</v>
      </c>
      <c r="E199" s="938">
        <v>950</v>
      </c>
      <c r="F199" s="943">
        <f>D199*E199</f>
        <v>20102.760000000002</v>
      </c>
      <c r="G199" s="939">
        <f>352.68*0.6*0.1</f>
        <v>21.160800000000002</v>
      </c>
      <c r="H199" s="1002"/>
      <c r="I199" s="1003">
        <f>G199+H199</f>
        <v>21.160800000000002</v>
      </c>
      <c r="J199" s="1008">
        <f>I199/D199</f>
        <v>1</v>
      </c>
      <c r="K199" s="988">
        <f t="shared" ref="K199:K202" si="17">G199*E199</f>
        <v>20102.760000000002</v>
      </c>
      <c r="L199" s="947"/>
      <c r="M199" s="1018">
        <f t="shared" si="16"/>
        <v>20102.760000000002</v>
      </c>
    </row>
    <row r="200" spans="1:13">
      <c r="A200" s="998">
        <f>A199+0.01</f>
        <v>8.0299999999999994</v>
      </c>
      <c r="B200" s="888" t="s">
        <v>693</v>
      </c>
      <c r="C200" s="34" t="s">
        <v>45</v>
      </c>
      <c r="D200" s="938">
        <f>D198*0.4</f>
        <v>97.339680000000001</v>
      </c>
      <c r="E200" s="938">
        <v>545</v>
      </c>
      <c r="F200" s="943">
        <f>D200*E200</f>
        <v>53050.125599999999</v>
      </c>
      <c r="G200" s="939">
        <f>G198*0.4</f>
        <v>97.339680000000001</v>
      </c>
      <c r="H200" s="1002"/>
      <c r="I200" s="1003">
        <f>G200+H200</f>
        <v>97.339680000000001</v>
      </c>
      <c r="J200" s="1008">
        <f>I200/D200</f>
        <v>1</v>
      </c>
      <c r="K200" s="988">
        <f t="shared" si="17"/>
        <v>53050.125599999999</v>
      </c>
      <c r="L200" s="947"/>
      <c r="M200" s="1018">
        <f t="shared" si="16"/>
        <v>53050.125599999999</v>
      </c>
    </row>
    <row r="201" spans="1:13">
      <c r="A201" s="998">
        <f>A200+0.01</f>
        <v>8.0399999999999991</v>
      </c>
      <c r="B201" s="888" t="s">
        <v>126</v>
      </c>
      <c r="C201" s="34" t="s">
        <v>45</v>
      </c>
      <c r="D201" s="938">
        <v>229.36</v>
      </c>
      <c r="E201" s="938">
        <v>250</v>
      </c>
      <c r="F201" s="943">
        <f>D201*E201-0.5</f>
        <v>57339.5</v>
      </c>
      <c r="G201" s="939">
        <v>229.36</v>
      </c>
      <c r="H201" s="1002"/>
      <c r="I201" s="1003">
        <f>G201+H201</f>
        <v>229.36</v>
      </c>
      <c r="J201" s="1008">
        <f>I201/D201</f>
        <v>1</v>
      </c>
      <c r="K201" s="988">
        <f t="shared" si="17"/>
        <v>57340</v>
      </c>
      <c r="L201" s="947"/>
      <c r="M201" s="1018">
        <f t="shared" si="16"/>
        <v>57340</v>
      </c>
    </row>
    <row r="202" spans="1:13">
      <c r="A202" s="998">
        <f>A201+0.01</f>
        <v>8.0499999999999989</v>
      </c>
      <c r="B202" s="888" t="s">
        <v>694</v>
      </c>
      <c r="C202" s="1031" t="s">
        <v>45</v>
      </c>
      <c r="D202" s="215">
        <v>206.84</v>
      </c>
      <c r="E202" s="215">
        <v>750</v>
      </c>
      <c r="F202" s="1032">
        <f>D202*E202</f>
        <v>155130</v>
      </c>
      <c r="G202" s="1033">
        <v>206.84</v>
      </c>
      <c r="H202" s="1002"/>
      <c r="I202" s="1003">
        <f>G202+H202</f>
        <v>206.84</v>
      </c>
      <c r="J202" s="1008">
        <f>I202/D202</f>
        <v>1</v>
      </c>
      <c r="K202" s="988">
        <f t="shared" si="17"/>
        <v>155130</v>
      </c>
      <c r="L202" s="947"/>
      <c r="M202" s="1018">
        <f t="shared" si="16"/>
        <v>155130</v>
      </c>
    </row>
    <row r="203" spans="1:13">
      <c r="A203" s="998"/>
      <c r="B203" s="887" t="s">
        <v>49</v>
      </c>
      <c r="C203" s="1000"/>
      <c r="D203" s="1000"/>
      <c r="E203" s="1000"/>
      <c r="F203" s="1012">
        <f>SUM(F198:F202)</f>
        <v>337699.11439999996</v>
      </c>
      <c r="G203" s="1002"/>
      <c r="H203" s="1002"/>
      <c r="I203" s="1002"/>
      <c r="J203" s="1002"/>
      <c r="K203" s="1013">
        <f>SUM(K198:K202)</f>
        <v>337699.61439999996</v>
      </c>
      <c r="L203" s="1028"/>
      <c r="M203" s="1019">
        <f t="shared" si="16"/>
        <v>337699.61439999996</v>
      </c>
    </row>
    <row r="204" spans="1:13">
      <c r="A204" s="998"/>
      <c r="B204" s="887"/>
      <c r="C204" s="1000"/>
      <c r="D204" s="1000"/>
      <c r="E204" s="1000"/>
      <c r="F204" s="1012"/>
      <c r="G204" s="1002"/>
      <c r="H204" s="1002"/>
      <c r="I204" s="1002"/>
      <c r="J204" s="1002"/>
      <c r="K204" s="1005"/>
      <c r="L204" s="1024"/>
      <c r="M204" s="1024"/>
    </row>
    <row r="205" spans="1:13">
      <c r="A205" s="1022">
        <v>9</v>
      </c>
      <c r="B205" s="999" t="s">
        <v>695</v>
      </c>
      <c r="C205" s="1000"/>
      <c r="D205" s="1001"/>
      <c r="E205" s="1001"/>
      <c r="F205" s="1001"/>
      <c r="G205" s="1002"/>
      <c r="H205" s="1002"/>
      <c r="I205" s="1002"/>
      <c r="J205" s="1002"/>
      <c r="K205" s="1005"/>
      <c r="L205" s="1024"/>
      <c r="M205" s="1024"/>
    </row>
    <row r="206" spans="1:13">
      <c r="A206" s="998">
        <f>A205+0.01</f>
        <v>9.01</v>
      </c>
      <c r="B206" s="1009" t="s">
        <v>696</v>
      </c>
      <c r="C206" s="1000" t="s">
        <v>222</v>
      </c>
      <c r="D206" s="1001">
        <f>352.68*0.8</f>
        <v>282.14400000000001</v>
      </c>
      <c r="E206" s="1001">
        <v>750</v>
      </c>
      <c r="F206" s="1011">
        <f>D206*E206</f>
        <v>211608</v>
      </c>
      <c r="G206" s="1002"/>
      <c r="H206" s="1002">
        <v>200</v>
      </c>
      <c r="I206" s="1003">
        <f>G206+H206</f>
        <v>200</v>
      </c>
      <c r="J206" s="1008">
        <f>I206/D206</f>
        <v>0.7088578881705796</v>
      </c>
      <c r="K206" s="1005"/>
      <c r="L206" s="947">
        <f t="shared" ref="L206:L207" si="18">H206*E206</f>
        <v>150000</v>
      </c>
      <c r="M206" s="1018">
        <f t="shared" ref="M206:M208" si="19">K206+L206</f>
        <v>150000</v>
      </c>
    </row>
    <row r="207" spans="1:13">
      <c r="A207" s="998">
        <f>A206+0.01</f>
        <v>9.02</v>
      </c>
      <c r="B207" s="1009" t="s">
        <v>685</v>
      </c>
      <c r="C207" s="1000" t="s">
        <v>686</v>
      </c>
      <c r="D207" s="1001">
        <f>352.68*0.8</f>
        <v>282.14400000000001</v>
      </c>
      <c r="E207" s="1001">
        <v>110</v>
      </c>
      <c r="F207" s="1011">
        <f>D207*E207</f>
        <v>31035.84</v>
      </c>
      <c r="G207" s="1002"/>
      <c r="H207" s="1002">
        <v>200</v>
      </c>
      <c r="I207" s="1003">
        <f>G207+H207</f>
        <v>200</v>
      </c>
      <c r="J207" s="1008">
        <f>I207/D207</f>
        <v>0.7088578881705796</v>
      </c>
      <c r="K207" s="1005"/>
      <c r="L207" s="947">
        <f t="shared" si="18"/>
        <v>22000</v>
      </c>
      <c r="M207" s="1018">
        <f t="shared" si="19"/>
        <v>22000</v>
      </c>
    </row>
    <row r="208" spans="1:13">
      <c r="A208" s="998">
        <f>A207+0.01</f>
        <v>9.0299999999999994</v>
      </c>
      <c r="B208" s="1023" t="s">
        <v>384</v>
      </c>
      <c r="C208" s="1000"/>
      <c r="D208" s="1000"/>
      <c r="E208" s="1000"/>
      <c r="F208" s="1012">
        <f>SUM(F206:F207)</f>
        <v>242643.84</v>
      </c>
      <c r="G208" s="1002"/>
      <c r="H208" s="1002"/>
      <c r="I208" s="1002"/>
      <c r="J208" s="1002"/>
      <c r="K208" s="1005"/>
      <c r="L208" s="1028">
        <f>SUM(L206:L207)</f>
        <v>172000</v>
      </c>
      <c r="M208" s="1029">
        <f t="shared" si="19"/>
        <v>172000</v>
      </c>
    </row>
    <row r="209" spans="1:13">
      <c r="A209" s="998"/>
      <c r="B209" s="1023"/>
      <c r="C209" s="1000"/>
      <c r="D209" s="1000"/>
      <c r="E209" s="1000"/>
      <c r="F209" s="1012"/>
      <c r="G209" s="1002"/>
      <c r="H209" s="1002"/>
      <c r="I209" s="1002"/>
      <c r="J209" s="1002"/>
      <c r="K209" s="1005"/>
      <c r="L209" s="1024"/>
      <c r="M209" s="1024"/>
    </row>
    <row r="210" spans="1:13">
      <c r="A210" s="978">
        <v>10</v>
      </c>
      <c r="B210" s="887" t="s">
        <v>588</v>
      </c>
      <c r="C210" s="34"/>
      <c r="D210" s="938"/>
      <c r="E210" s="938"/>
      <c r="F210" s="943"/>
      <c r="G210" s="1002"/>
      <c r="H210" s="1002"/>
      <c r="I210" s="1002"/>
      <c r="J210" s="1002"/>
      <c r="K210" s="1005"/>
      <c r="L210" s="1024"/>
      <c r="M210" s="1024"/>
    </row>
    <row r="211" spans="1:13" ht="24">
      <c r="A211" s="942">
        <f>A210+0.01</f>
        <v>10.01</v>
      </c>
      <c r="B211" s="55" t="s">
        <v>697</v>
      </c>
      <c r="C211" s="34" t="s">
        <v>55</v>
      </c>
      <c r="D211" s="938">
        <v>3</v>
      </c>
      <c r="E211" s="938">
        <v>55000</v>
      </c>
      <c r="F211" s="943">
        <f t="shared" ref="F211:F212" si="20">D211*E211</f>
        <v>165000</v>
      </c>
      <c r="G211" s="1002"/>
      <c r="H211" s="939">
        <v>3</v>
      </c>
      <c r="I211" s="1003">
        <f>G211+H211</f>
        <v>3</v>
      </c>
      <c r="J211" s="1008">
        <f>I211/D211</f>
        <v>1</v>
      </c>
      <c r="K211" s="1005"/>
      <c r="L211" s="947">
        <f t="shared" ref="L211:L222" si="21">H211*E211</f>
        <v>165000</v>
      </c>
      <c r="M211" s="1018">
        <f t="shared" ref="M211:M223" si="22">K211+L211</f>
        <v>165000</v>
      </c>
    </row>
    <row r="212" spans="1:13">
      <c r="A212" s="942">
        <f t="shared" ref="A212:A222" si="23">A211+0.01</f>
        <v>10.02</v>
      </c>
      <c r="B212" s="888" t="s">
        <v>590</v>
      </c>
      <c r="C212" s="34" t="s">
        <v>55</v>
      </c>
      <c r="D212" s="938">
        <v>1</v>
      </c>
      <c r="E212" s="938">
        <v>30000</v>
      </c>
      <c r="F212" s="943">
        <f t="shared" si="20"/>
        <v>30000</v>
      </c>
      <c r="G212" s="1002"/>
      <c r="H212" s="939">
        <v>1</v>
      </c>
      <c r="I212" s="1003">
        <f>G212+H212</f>
        <v>1</v>
      </c>
      <c r="J212" s="1008">
        <f>I212/D212</f>
        <v>1</v>
      </c>
      <c r="K212" s="1005"/>
      <c r="L212" s="947">
        <f t="shared" si="21"/>
        <v>30000</v>
      </c>
      <c r="M212" s="1018">
        <f t="shared" si="22"/>
        <v>30000</v>
      </c>
    </row>
    <row r="213" spans="1:13">
      <c r="A213" s="942">
        <f t="shared" si="23"/>
        <v>10.029999999999999</v>
      </c>
      <c r="B213" s="888" t="s">
        <v>592</v>
      </c>
      <c r="C213" s="34" t="s">
        <v>55</v>
      </c>
      <c r="D213" s="938">
        <v>1</v>
      </c>
      <c r="E213" s="938">
        <v>30000</v>
      </c>
      <c r="F213" s="943">
        <f>D213*E213</f>
        <v>30000</v>
      </c>
      <c r="G213" s="1002"/>
      <c r="H213" s="939">
        <v>1</v>
      </c>
      <c r="I213" s="1003">
        <f t="shared" ref="I213:I222" si="24">G213+H213</f>
        <v>1</v>
      </c>
      <c r="J213" s="1008">
        <f t="shared" ref="J213:J222" si="25">I213/D213</f>
        <v>1</v>
      </c>
      <c r="K213" s="1005"/>
      <c r="L213" s="947">
        <f t="shared" si="21"/>
        <v>30000</v>
      </c>
      <c r="M213" s="1018">
        <f t="shared" si="22"/>
        <v>30000</v>
      </c>
    </row>
    <row r="214" spans="1:13">
      <c r="A214" s="942">
        <f t="shared" si="23"/>
        <v>10.039999999999999</v>
      </c>
      <c r="B214" s="888" t="s">
        <v>698</v>
      </c>
      <c r="C214" s="34" t="s">
        <v>32</v>
      </c>
      <c r="D214" s="938">
        <v>1</v>
      </c>
      <c r="E214" s="938">
        <v>12000</v>
      </c>
      <c r="F214" s="943">
        <f>D214*E214</f>
        <v>12000</v>
      </c>
      <c r="G214" s="1002"/>
      <c r="H214" s="939">
        <v>1</v>
      </c>
      <c r="I214" s="1003">
        <f t="shared" si="24"/>
        <v>1</v>
      </c>
      <c r="J214" s="1008">
        <f t="shared" si="25"/>
        <v>1</v>
      </c>
      <c r="K214" s="1005"/>
      <c r="L214" s="947">
        <f t="shared" si="21"/>
        <v>12000</v>
      </c>
      <c r="M214" s="1018">
        <f t="shared" si="22"/>
        <v>12000</v>
      </c>
    </row>
    <row r="215" spans="1:13">
      <c r="A215" s="942">
        <f t="shared" si="23"/>
        <v>10.049999999999999</v>
      </c>
      <c r="B215" s="888" t="s">
        <v>699</v>
      </c>
      <c r="C215" s="34" t="s">
        <v>32</v>
      </c>
      <c r="D215" s="938">
        <v>2</v>
      </c>
      <c r="E215" s="938">
        <v>2000</v>
      </c>
      <c r="F215" s="938">
        <f>D215*E215</f>
        <v>4000</v>
      </c>
      <c r="G215" s="1002"/>
      <c r="H215" s="939">
        <v>2</v>
      </c>
      <c r="I215" s="1003">
        <f t="shared" si="24"/>
        <v>2</v>
      </c>
      <c r="J215" s="1008">
        <f t="shared" si="25"/>
        <v>1</v>
      </c>
      <c r="K215" s="1005"/>
      <c r="L215" s="947">
        <f t="shared" si="21"/>
        <v>4000</v>
      </c>
      <c r="M215" s="1018">
        <f t="shared" si="22"/>
        <v>4000</v>
      </c>
    </row>
    <row r="216" spans="1:13">
      <c r="A216" s="942">
        <f t="shared" si="23"/>
        <v>10.059999999999999</v>
      </c>
      <c r="B216" s="888" t="s">
        <v>700</v>
      </c>
      <c r="C216" s="34" t="s">
        <v>32</v>
      </c>
      <c r="D216" s="938">
        <v>3</v>
      </c>
      <c r="E216" s="938">
        <v>8500</v>
      </c>
      <c r="F216" s="938">
        <f>D216*E216</f>
        <v>25500</v>
      </c>
      <c r="G216" s="1002"/>
      <c r="H216" s="939">
        <v>3</v>
      </c>
      <c r="I216" s="1003">
        <f t="shared" si="24"/>
        <v>3</v>
      </c>
      <c r="J216" s="1008">
        <f t="shared" si="25"/>
        <v>1</v>
      </c>
      <c r="K216" s="1005"/>
      <c r="L216" s="947">
        <f t="shared" si="21"/>
        <v>25500</v>
      </c>
      <c r="M216" s="1018">
        <f t="shared" si="22"/>
        <v>25500</v>
      </c>
    </row>
    <row r="217" spans="1:13">
      <c r="A217" s="942">
        <f t="shared" si="23"/>
        <v>10.069999999999999</v>
      </c>
      <c r="B217" s="888" t="s">
        <v>597</v>
      </c>
      <c r="C217" s="34" t="s">
        <v>32</v>
      </c>
      <c r="D217" s="938">
        <v>1</v>
      </c>
      <c r="E217" s="938">
        <v>52000</v>
      </c>
      <c r="F217" s="943">
        <f t="shared" ref="F217:F222" si="26">D217*E217</f>
        <v>52000</v>
      </c>
      <c r="G217" s="1002"/>
      <c r="H217" s="939">
        <v>1</v>
      </c>
      <c r="I217" s="1003">
        <f t="shared" si="24"/>
        <v>1</v>
      </c>
      <c r="J217" s="1008">
        <f t="shared" si="25"/>
        <v>1</v>
      </c>
      <c r="K217" s="1005"/>
      <c r="L217" s="947">
        <f t="shared" si="21"/>
        <v>52000</v>
      </c>
      <c r="M217" s="1018">
        <f t="shared" si="22"/>
        <v>52000</v>
      </c>
    </row>
    <row r="218" spans="1:13">
      <c r="A218" s="942">
        <f t="shared" si="23"/>
        <v>10.079999999999998</v>
      </c>
      <c r="B218" s="888" t="s">
        <v>598</v>
      </c>
      <c r="C218" s="34" t="s">
        <v>32</v>
      </c>
      <c r="D218" s="938">
        <v>2</v>
      </c>
      <c r="E218" s="938">
        <v>35129</v>
      </c>
      <c r="F218" s="943">
        <f t="shared" si="26"/>
        <v>70258</v>
      </c>
      <c r="G218" s="1002"/>
      <c r="H218" s="939">
        <v>2</v>
      </c>
      <c r="I218" s="1003">
        <f t="shared" si="24"/>
        <v>2</v>
      </c>
      <c r="J218" s="1008">
        <f t="shared" si="25"/>
        <v>1</v>
      </c>
      <c r="K218" s="1005"/>
      <c r="L218" s="947">
        <f t="shared" si="21"/>
        <v>70258</v>
      </c>
      <c r="M218" s="1018">
        <f t="shared" si="22"/>
        <v>70258</v>
      </c>
    </row>
    <row r="219" spans="1:13">
      <c r="A219" s="942">
        <f t="shared" si="23"/>
        <v>10.089999999999998</v>
      </c>
      <c r="B219" s="888" t="s">
        <v>602</v>
      </c>
      <c r="C219" s="34" t="s">
        <v>32</v>
      </c>
      <c r="D219" s="938">
        <v>1</v>
      </c>
      <c r="E219" s="938">
        <v>19364</v>
      </c>
      <c r="F219" s="943">
        <f t="shared" si="26"/>
        <v>19364</v>
      </c>
      <c r="G219" s="1002"/>
      <c r="H219" s="939">
        <v>1</v>
      </c>
      <c r="I219" s="1003">
        <f t="shared" si="24"/>
        <v>1</v>
      </c>
      <c r="J219" s="1008">
        <f t="shared" si="25"/>
        <v>1</v>
      </c>
      <c r="K219" s="1005"/>
      <c r="L219" s="947">
        <f t="shared" si="21"/>
        <v>19364</v>
      </c>
      <c r="M219" s="1018">
        <f t="shared" si="22"/>
        <v>19364</v>
      </c>
    </row>
    <row r="220" spans="1:13">
      <c r="A220" s="942">
        <f t="shared" si="23"/>
        <v>10.099999999999998</v>
      </c>
      <c r="B220" s="888" t="s">
        <v>603</v>
      </c>
      <c r="C220" s="34" t="s">
        <v>55</v>
      </c>
      <c r="D220" s="938">
        <v>3</v>
      </c>
      <c r="E220" s="938">
        <v>10200</v>
      </c>
      <c r="F220" s="943">
        <f t="shared" si="26"/>
        <v>30600</v>
      </c>
      <c r="G220" s="1002"/>
      <c r="H220" s="939">
        <v>3</v>
      </c>
      <c r="I220" s="1003">
        <f t="shared" si="24"/>
        <v>3</v>
      </c>
      <c r="J220" s="1008">
        <f t="shared" si="25"/>
        <v>1</v>
      </c>
      <c r="K220" s="1005"/>
      <c r="L220" s="947">
        <f t="shared" si="21"/>
        <v>30600</v>
      </c>
      <c r="M220" s="1018">
        <f t="shared" si="22"/>
        <v>30600</v>
      </c>
    </row>
    <row r="221" spans="1:13">
      <c r="A221" s="942">
        <f t="shared" si="23"/>
        <v>10.109999999999998</v>
      </c>
      <c r="B221" s="888" t="s">
        <v>607</v>
      </c>
      <c r="C221" s="34" t="s">
        <v>55</v>
      </c>
      <c r="D221" s="938">
        <v>1</v>
      </c>
      <c r="E221" s="938">
        <v>31935</v>
      </c>
      <c r="F221" s="943">
        <f t="shared" si="26"/>
        <v>31935</v>
      </c>
      <c r="G221" s="1002"/>
      <c r="H221" s="939">
        <v>1</v>
      </c>
      <c r="I221" s="1003">
        <f t="shared" si="24"/>
        <v>1</v>
      </c>
      <c r="J221" s="1008">
        <f t="shared" si="25"/>
        <v>1</v>
      </c>
      <c r="K221" s="1005"/>
      <c r="L221" s="947">
        <f t="shared" si="21"/>
        <v>31935</v>
      </c>
      <c r="M221" s="1018">
        <f t="shared" si="22"/>
        <v>31935</v>
      </c>
    </row>
    <row r="222" spans="1:13">
      <c r="A222" s="942">
        <f t="shared" si="23"/>
        <v>10.119999999999997</v>
      </c>
      <c r="B222" s="888" t="s">
        <v>320</v>
      </c>
      <c r="C222" s="34" t="s">
        <v>55</v>
      </c>
      <c r="D222" s="938">
        <v>1</v>
      </c>
      <c r="E222" s="938">
        <v>165000</v>
      </c>
      <c r="F222" s="943">
        <f t="shared" si="26"/>
        <v>165000</v>
      </c>
      <c r="G222" s="1002"/>
      <c r="H222" s="939">
        <v>1</v>
      </c>
      <c r="I222" s="1003">
        <f t="shared" si="24"/>
        <v>1</v>
      </c>
      <c r="J222" s="1008">
        <f t="shared" si="25"/>
        <v>1</v>
      </c>
      <c r="K222" s="1005"/>
      <c r="L222" s="947">
        <f t="shared" si="21"/>
        <v>165000</v>
      </c>
      <c r="M222" s="1018">
        <f t="shared" si="22"/>
        <v>165000</v>
      </c>
    </row>
    <row r="223" spans="1:13">
      <c r="A223" s="998"/>
      <c r="B223" s="887" t="s">
        <v>608</v>
      </c>
      <c r="C223" s="34"/>
      <c r="D223" s="938"/>
      <c r="E223" s="938"/>
      <c r="F223" s="977">
        <f>SUM(F211:F222)</f>
        <v>635657</v>
      </c>
      <c r="G223" s="1002"/>
      <c r="H223" s="1002"/>
      <c r="I223" s="1002"/>
      <c r="J223" s="1002"/>
      <c r="K223" s="1005"/>
      <c r="L223" s="1028">
        <f>SUM(L211:L222)</f>
        <v>635657</v>
      </c>
      <c r="M223" s="1019">
        <f t="shared" si="22"/>
        <v>635657</v>
      </c>
    </row>
    <row r="224" spans="1:13">
      <c r="A224" s="998">
        <v>11</v>
      </c>
      <c r="B224" s="887" t="s">
        <v>609</v>
      </c>
      <c r="C224" s="34"/>
      <c r="D224" s="938"/>
      <c r="E224" s="938"/>
      <c r="F224" s="977"/>
      <c r="G224" s="1002"/>
      <c r="H224" s="1002"/>
      <c r="I224" s="1002"/>
      <c r="J224" s="1002"/>
      <c r="K224" s="1005"/>
      <c r="L224" s="1028"/>
      <c r="M224" s="1019"/>
    </row>
    <row r="225" spans="1:13">
      <c r="A225" s="998">
        <v>11</v>
      </c>
      <c r="B225" s="887" t="s">
        <v>610</v>
      </c>
      <c r="C225" s="34"/>
      <c r="D225" s="938"/>
      <c r="E225" s="938"/>
      <c r="F225" s="977"/>
      <c r="G225" s="1002"/>
      <c r="H225" s="1027"/>
      <c r="I225" s="1002"/>
      <c r="J225" s="1002"/>
      <c r="K225" s="1005"/>
      <c r="L225" s="1028"/>
      <c r="M225" s="1019"/>
    </row>
    <row r="226" spans="1:13">
      <c r="A226" s="1034"/>
      <c r="B226" s="888" t="s">
        <v>701</v>
      </c>
      <c r="C226" s="34" t="s">
        <v>32</v>
      </c>
      <c r="D226" s="34">
        <v>1</v>
      </c>
      <c r="E226" s="938">
        <v>450</v>
      </c>
      <c r="F226" s="943">
        <f t="shared" ref="F226:F237" si="27">D226*E226</f>
        <v>450</v>
      </c>
      <c r="G226" s="1002"/>
      <c r="H226" s="1030">
        <v>1</v>
      </c>
      <c r="I226" s="1003">
        <f t="shared" ref="I226:I237" si="28">G226+H226</f>
        <v>1</v>
      </c>
      <c r="J226" s="1008">
        <f t="shared" ref="J226:J237" si="29">I226/D226</f>
        <v>1</v>
      </c>
      <c r="K226" s="1005"/>
      <c r="L226" s="947">
        <f t="shared" ref="L226:L237" si="30">H226*E226</f>
        <v>450</v>
      </c>
      <c r="M226" s="1018">
        <f t="shared" ref="M226:M238" si="31">K226+L226</f>
        <v>450</v>
      </c>
    </row>
    <row r="227" spans="1:13">
      <c r="A227" s="942">
        <f>A225+0.01</f>
        <v>11.01</v>
      </c>
      <c r="B227" s="888" t="s">
        <v>611</v>
      </c>
      <c r="C227" s="34" t="s">
        <v>32</v>
      </c>
      <c r="D227" s="34">
        <v>1</v>
      </c>
      <c r="E227" s="938">
        <v>780</v>
      </c>
      <c r="F227" s="943">
        <f t="shared" si="27"/>
        <v>780</v>
      </c>
      <c r="G227" s="1002"/>
      <c r="H227" s="1030">
        <v>1</v>
      </c>
      <c r="I227" s="1003">
        <f t="shared" si="28"/>
        <v>1</v>
      </c>
      <c r="J227" s="1008">
        <f t="shared" si="29"/>
        <v>1</v>
      </c>
      <c r="K227" s="1005"/>
      <c r="L227" s="947">
        <f t="shared" si="30"/>
        <v>780</v>
      </c>
      <c r="M227" s="1018">
        <f t="shared" si="31"/>
        <v>780</v>
      </c>
    </row>
    <row r="228" spans="1:13">
      <c r="A228" s="942">
        <f t="shared" ref="A228:A229" si="32">A227+0.01</f>
        <v>11.02</v>
      </c>
      <c r="B228" s="888" t="s">
        <v>702</v>
      </c>
      <c r="C228" s="57" t="s">
        <v>703</v>
      </c>
      <c r="D228" s="34">
        <v>150</v>
      </c>
      <c r="E228" s="938">
        <v>65</v>
      </c>
      <c r="F228" s="943">
        <f t="shared" si="27"/>
        <v>9750</v>
      </c>
      <c r="G228" s="1002"/>
      <c r="H228" s="1030">
        <v>150</v>
      </c>
      <c r="I228" s="1003">
        <f t="shared" si="28"/>
        <v>150</v>
      </c>
      <c r="J228" s="1008">
        <f t="shared" si="29"/>
        <v>1</v>
      </c>
      <c r="K228" s="1005"/>
      <c r="L228" s="947">
        <f t="shared" si="30"/>
        <v>9750</v>
      </c>
      <c r="M228" s="1018">
        <f t="shared" si="31"/>
        <v>9750</v>
      </c>
    </row>
    <row r="229" spans="1:13">
      <c r="A229" s="942">
        <f t="shared" si="32"/>
        <v>11.03</v>
      </c>
      <c r="B229" s="888" t="s">
        <v>613</v>
      </c>
      <c r="C229" s="34" t="s">
        <v>32</v>
      </c>
      <c r="D229" s="34">
        <v>1</v>
      </c>
      <c r="E229" s="938">
        <v>1800</v>
      </c>
      <c r="F229" s="943">
        <f t="shared" si="27"/>
        <v>1800</v>
      </c>
      <c r="G229" s="1002"/>
      <c r="H229" s="1030">
        <v>1</v>
      </c>
      <c r="I229" s="1003">
        <f t="shared" si="28"/>
        <v>1</v>
      </c>
      <c r="J229" s="1008">
        <f t="shared" si="29"/>
        <v>1</v>
      </c>
      <c r="K229" s="1005"/>
      <c r="L229" s="947">
        <f t="shared" si="30"/>
        <v>1800</v>
      </c>
      <c r="M229" s="1018">
        <f t="shared" si="31"/>
        <v>1800</v>
      </c>
    </row>
    <row r="230" spans="1:13">
      <c r="A230" s="942">
        <f>A229+0.01</f>
        <v>11.04</v>
      </c>
      <c r="B230" s="888" t="s">
        <v>704</v>
      </c>
      <c r="C230" s="34" t="s">
        <v>32</v>
      </c>
      <c r="D230" s="34">
        <v>1</v>
      </c>
      <c r="E230" s="938">
        <v>300</v>
      </c>
      <c r="F230" s="943">
        <f t="shared" si="27"/>
        <v>300</v>
      </c>
      <c r="G230" s="1002"/>
      <c r="H230" s="1030">
        <v>1</v>
      </c>
      <c r="I230" s="1003">
        <f t="shared" si="28"/>
        <v>1</v>
      </c>
      <c r="J230" s="1008">
        <f t="shared" si="29"/>
        <v>1</v>
      </c>
      <c r="K230" s="1005"/>
      <c r="L230" s="947">
        <f t="shared" si="30"/>
        <v>300</v>
      </c>
      <c r="M230" s="1018">
        <f t="shared" si="31"/>
        <v>300</v>
      </c>
    </row>
    <row r="231" spans="1:13">
      <c r="A231" s="942">
        <f t="shared" ref="A231:A237" si="33">A230+0.01</f>
        <v>11.049999999999999</v>
      </c>
      <c r="B231" s="888" t="s">
        <v>705</v>
      </c>
      <c r="C231" s="34" t="s">
        <v>32</v>
      </c>
      <c r="D231" s="34">
        <v>1</v>
      </c>
      <c r="E231" s="938">
        <v>800</v>
      </c>
      <c r="F231" s="943">
        <f t="shared" si="27"/>
        <v>800</v>
      </c>
      <c r="G231" s="1002"/>
      <c r="H231" s="1030">
        <v>1</v>
      </c>
      <c r="I231" s="1003">
        <f t="shared" si="28"/>
        <v>1</v>
      </c>
      <c r="J231" s="1008">
        <f t="shared" si="29"/>
        <v>1</v>
      </c>
      <c r="K231" s="1005"/>
      <c r="L231" s="947">
        <f t="shared" si="30"/>
        <v>800</v>
      </c>
      <c r="M231" s="1018">
        <f t="shared" si="31"/>
        <v>800</v>
      </c>
    </row>
    <row r="232" spans="1:13">
      <c r="A232" s="942">
        <f t="shared" si="33"/>
        <v>11.059999999999999</v>
      </c>
      <c r="B232" s="888" t="s">
        <v>706</v>
      </c>
      <c r="C232" s="34" t="s">
        <v>32</v>
      </c>
      <c r="D232" s="34">
        <v>10</v>
      </c>
      <c r="E232" s="938">
        <v>38</v>
      </c>
      <c r="F232" s="943">
        <f t="shared" si="27"/>
        <v>380</v>
      </c>
      <c r="G232" s="1002"/>
      <c r="H232" s="1030">
        <v>10</v>
      </c>
      <c r="I232" s="1003">
        <f t="shared" si="28"/>
        <v>10</v>
      </c>
      <c r="J232" s="1008">
        <f t="shared" si="29"/>
        <v>1</v>
      </c>
      <c r="K232" s="1005"/>
      <c r="L232" s="947">
        <f t="shared" si="30"/>
        <v>380</v>
      </c>
      <c r="M232" s="1018">
        <f t="shared" si="31"/>
        <v>380</v>
      </c>
    </row>
    <row r="233" spans="1:13">
      <c r="A233" s="942">
        <f t="shared" si="33"/>
        <v>11.069999999999999</v>
      </c>
      <c r="B233" s="888" t="s">
        <v>707</v>
      </c>
      <c r="C233" s="34" t="s">
        <v>32</v>
      </c>
      <c r="D233" s="34">
        <v>1</v>
      </c>
      <c r="E233" s="938">
        <v>22000</v>
      </c>
      <c r="F233" s="943">
        <f t="shared" si="27"/>
        <v>22000</v>
      </c>
      <c r="G233" s="1002"/>
      <c r="H233" s="1030">
        <v>1</v>
      </c>
      <c r="I233" s="1003">
        <f t="shared" si="28"/>
        <v>1</v>
      </c>
      <c r="J233" s="1008">
        <f t="shared" si="29"/>
        <v>1</v>
      </c>
      <c r="K233" s="1005"/>
      <c r="L233" s="947">
        <f t="shared" si="30"/>
        <v>22000</v>
      </c>
      <c r="M233" s="1018">
        <f t="shared" si="31"/>
        <v>22000</v>
      </c>
    </row>
    <row r="234" spans="1:13">
      <c r="A234" s="942">
        <f t="shared" si="33"/>
        <v>11.079999999999998</v>
      </c>
      <c r="B234" s="888" t="s">
        <v>607</v>
      </c>
      <c r="C234" s="34" t="s">
        <v>32</v>
      </c>
      <c r="D234" s="34">
        <v>1</v>
      </c>
      <c r="E234" s="938">
        <v>30000</v>
      </c>
      <c r="F234" s="943">
        <f t="shared" si="27"/>
        <v>30000</v>
      </c>
      <c r="G234" s="1002"/>
      <c r="H234" s="1030">
        <v>1</v>
      </c>
      <c r="I234" s="1003">
        <f t="shared" si="28"/>
        <v>1</v>
      </c>
      <c r="J234" s="1008">
        <f t="shared" si="29"/>
        <v>1</v>
      </c>
      <c r="K234" s="1005"/>
      <c r="L234" s="947">
        <f t="shared" si="30"/>
        <v>30000</v>
      </c>
      <c r="M234" s="1018">
        <f t="shared" si="31"/>
        <v>30000</v>
      </c>
    </row>
    <row r="235" spans="1:13">
      <c r="A235" s="942">
        <f t="shared" si="33"/>
        <v>11.089999999999998</v>
      </c>
      <c r="B235" s="888" t="s">
        <v>320</v>
      </c>
      <c r="C235" s="34" t="s">
        <v>32</v>
      </c>
      <c r="D235" s="34">
        <v>1</v>
      </c>
      <c r="E235" s="938">
        <v>45000</v>
      </c>
      <c r="F235" s="943">
        <f t="shared" si="27"/>
        <v>45000</v>
      </c>
      <c r="G235" s="1002"/>
      <c r="H235" s="1030">
        <v>1</v>
      </c>
      <c r="I235" s="1003">
        <f t="shared" si="28"/>
        <v>1</v>
      </c>
      <c r="J235" s="1008">
        <f t="shared" si="29"/>
        <v>1</v>
      </c>
      <c r="K235" s="1005"/>
      <c r="L235" s="947">
        <f t="shared" si="30"/>
        <v>45000</v>
      </c>
      <c r="M235" s="1018">
        <f t="shared" si="31"/>
        <v>45000</v>
      </c>
    </row>
    <row r="236" spans="1:13">
      <c r="A236" s="942">
        <f t="shared" si="33"/>
        <v>11.099999999999998</v>
      </c>
      <c r="B236" s="1035" t="s">
        <v>708</v>
      </c>
      <c r="C236" s="34" t="s">
        <v>32</v>
      </c>
      <c r="D236" s="34">
        <v>1</v>
      </c>
      <c r="E236" s="938">
        <v>14500</v>
      </c>
      <c r="F236" s="943">
        <f t="shared" si="27"/>
        <v>14500</v>
      </c>
      <c r="G236" s="1002"/>
      <c r="H236" s="1030">
        <v>1</v>
      </c>
      <c r="I236" s="1003">
        <f t="shared" si="28"/>
        <v>1</v>
      </c>
      <c r="J236" s="1008">
        <f t="shared" si="29"/>
        <v>1</v>
      </c>
      <c r="K236" s="1005"/>
      <c r="L236" s="947">
        <f t="shared" si="30"/>
        <v>14500</v>
      </c>
      <c r="M236" s="1018">
        <f t="shared" si="31"/>
        <v>14500</v>
      </c>
    </row>
    <row r="237" spans="1:13">
      <c r="A237" s="942">
        <f t="shared" si="33"/>
        <v>11.109999999999998</v>
      </c>
      <c r="B237" s="888" t="s">
        <v>709</v>
      </c>
      <c r="C237" s="34" t="s">
        <v>32</v>
      </c>
      <c r="D237" s="34">
        <v>2</v>
      </c>
      <c r="E237" s="938">
        <v>710</v>
      </c>
      <c r="F237" s="943">
        <f t="shared" si="27"/>
        <v>1420</v>
      </c>
      <c r="G237" s="1002"/>
      <c r="H237" s="1030">
        <v>2</v>
      </c>
      <c r="I237" s="1003">
        <f t="shared" si="28"/>
        <v>2</v>
      </c>
      <c r="J237" s="1008">
        <f t="shared" si="29"/>
        <v>1</v>
      </c>
      <c r="K237" s="1005"/>
      <c r="L237" s="947">
        <f t="shared" si="30"/>
        <v>1420</v>
      </c>
      <c r="M237" s="1018">
        <f t="shared" si="31"/>
        <v>1420</v>
      </c>
    </row>
    <row r="238" spans="1:13">
      <c r="A238" s="942"/>
      <c r="B238" s="887" t="s">
        <v>625</v>
      </c>
      <c r="C238" s="938"/>
      <c r="D238" s="938"/>
      <c r="E238" s="977"/>
      <c r="F238" s="977">
        <f>SUM(F226:F237)</f>
        <v>127180</v>
      </c>
      <c r="G238" s="1002"/>
      <c r="H238" s="1002"/>
      <c r="I238" s="1002"/>
      <c r="J238" s="1002"/>
      <c r="K238" s="1005"/>
      <c r="L238" s="1028">
        <f>SUM(L226:L237)</f>
        <v>127180</v>
      </c>
      <c r="M238" s="1019">
        <f t="shared" si="31"/>
        <v>127180</v>
      </c>
    </row>
    <row r="239" spans="1:13">
      <c r="A239" s="978">
        <v>12</v>
      </c>
      <c r="B239" s="982" t="s">
        <v>626</v>
      </c>
      <c r="C239" s="213"/>
      <c r="D239" s="938"/>
      <c r="E239" s="938"/>
      <c r="F239" s="977"/>
      <c r="G239" s="1002"/>
      <c r="H239" s="1002"/>
      <c r="I239" s="1002"/>
      <c r="J239" s="1002"/>
      <c r="K239" s="1005"/>
      <c r="L239" s="1028"/>
      <c r="M239" s="1019"/>
    </row>
    <row r="240" spans="1:13">
      <c r="A240" s="942">
        <f t="shared" ref="A240:A243" si="34">A239+0.01</f>
        <v>12.01</v>
      </c>
      <c r="B240" s="888" t="s">
        <v>710</v>
      </c>
      <c r="C240" s="34" t="s">
        <v>32</v>
      </c>
      <c r="D240" s="1036">
        <v>2</v>
      </c>
      <c r="E240" s="938">
        <v>120340</v>
      </c>
      <c r="F240" s="943">
        <f t="shared" ref="F240:F243" si="35">D240*E240</f>
        <v>240680</v>
      </c>
      <c r="G240" s="1002"/>
      <c r="H240" s="190">
        <v>2</v>
      </c>
      <c r="I240" s="1003">
        <f t="shared" ref="I240:I243" si="36">G240+H240</f>
        <v>2</v>
      </c>
      <c r="J240" s="1008">
        <f t="shared" ref="J240:J243" si="37">I240/D240</f>
        <v>1</v>
      </c>
      <c r="K240" s="1005"/>
      <c r="L240" s="947">
        <f t="shared" ref="L240:L243" si="38">H240*E240</f>
        <v>240680</v>
      </c>
      <c r="M240" s="1018">
        <f t="shared" ref="M240:M244" si="39">K240+L240</f>
        <v>240680</v>
      </c>
    </row>
    <row r="241" spans="1:13">
      <c r="A241" s="942">
        <f t="shared" si="34"/>
        <v>12.02</v>
      </c>
      <c r="B241" s="888" t="s">
        <v>702</v>
      </c>
      <c r="C241" s="57" t="s">
        <v>703</v>
      </c>
      <c r="D241" s="1036">
        <v>40</v>
      </c>
      <c r="E241" s="938">
        <v>65</v>
      </c>
      <c r="F241" s="943">
        <f t="shared" si="35"/>
        <v>2600</v>
      </c>
      <c r="G241" s="1002"/>
      <c r="H241" s="190">
        <v>40</v>
      </c>
      <c r="I241" s="1003">
        <f t="shared" si="36"/>
        <v>40</v>
      </c>
      <c r="J241" s="1008">
        <f t="shared" si="37"/>
        <v>1</v>
      </c>
      <c r="K241" s="1005"/>
      <c r="L241" s="947">
        <f t="shared" si="38"/>
        <v>2600</v>
      </c>
      <c r="M241" s="1018">
        <f t="shared" si="39"/>
        <v>2600</v>
      </c>
    </row>
    <row r="242" spans="1:13">
      <c r="A242" s="942">
        <f t="shared" si="34"/>
        <v>12.03</v>
      </c>
      <c r="B242" s="888" t="s">
        <v>607</v>
      </c>
      <c r="C242" s="34" t="s">
        <v>32</v>
      </c>
      <c r="D242" s="1036">
        <v>1</v>
      </c>
      <c r="E242" s="938">
        <v>10000</v>
      </c>
      <c r="F242" s="943">
        <f t="shared" si="35"/>
        <v>10000</v>
      </c>
      <c r="G242" s="1002"/>
      <c r="H242" s="190">
        <v>1</v>
      </c>
      <c r="I242" s="1003">
        <f t="shared" si="36"/>
        <v>1</v>
      </c>
      <c r="J242" s="1008">
        <f t="shared" si="37"/>
        <v>1</v>
      </c>
      <c r="K242" s="1005"/>
      <c r="L242" s="947">
        <f t="shared" si="38"/>
        <v>10000</v>
      </c>
      <c r="M242" s="1018">
        <f t="shared" si="39"/>
        <v>10000</v>
      </c>
    </row>
    <row r="243" spans="1:13">
      <c r="A243" s="942">
        <f t="shared" si="34"/>
        <v>12.04</v>
      </c>
      <c r="B243" s="888" t="s">
        <v>320</v>
      </c>
      <c r="C243" s="34" t="s">
        <v>32</v>
      </c>
      <c r="D243" s="938">
        <v>1</v>
      </c>
      <c r="E243" s="938">
        <v>25000</v>
      </c>
      <c r="F243" s="943">
        <f t="shared" si="35"/>
        <v>25000</v>
      </c>
      <c r="G243" s="1002"/>
      <c r="H243" s="939">
        <v>1</v>
      </c>
      <c r="I243" s="1003">
        <f t="shared" si="36"/>
        <v>1</v>
      </c>
      <c r="J243" s="1008">
        <f t="shared" si="37"/>
        <v>1</v>
      </c>
      <c r="K243" s="1005"/>
      <c r="L243" s="947">
        <f t="shared" si="38"/>
        <v>25000</v>
      </c>
      <c r="M243" s="1018">
        <f t="shared" si="39"/>
        <v>25000</v>
      </c>
    </row>
    <row r="244" spans="1:13">
      <c r="A244" s="998"/>
      <c r="B244" s="887" t="s">
        <v>39</v>
      </c>
      <c r="C244" s="34"/>
      <c r="D244" s="938"/>
      <c r="E244" s="938"/>
      <c r="F244" s="977">
        <f>SUM(F240:F243)</f>
        <v>278280</v>
      </c>
      <c r="G244" s="1002"/>
      <c r="H244" s="1002"/>
      <c r="I244" s="1002"/>
      <c r="J244" s="1002"/>
      <c r="K244" s="1005"/>
      <c r="L244" s="1028">
        <f>SUM(L240:L243)</f>
        <v>278280</v>
      </c>
      <c r="M244" s="1019">
        <f t="shared" si="39"/>
        <v>278280</v>
      </c>
    </row>
    <row r="245" spans="1:13">
      <c r="A245" s="998"/>
      <c r="B245" s="887"/>
      <c r="C245" s="34"/>
      <c r="D245" s="938"/>
      <c r="E245" s="938"/>
      <c r="F245" s="977"/>
      <c r="G245" s="1002"/>
      <c r="H245" s="1002"/>
      <c r="I245" s="1002"/>
      <c r="J245" s="1002"/>
      <c r="K245" s="1005"/>
      <c r="L245" s="1028"/>
      <c r="M245" s="1019"/>
    </row>
    <row r="246" spans="1:13">
      <c r="A246" s="978">
        <v>13</v>
      </c>
      <c r="B246" s="887" t="s">
        <v>630</v>
      </c>
      <c r="C246" s="34"/>
      <c r="D246" s="938"/>
      <c r="E246" s="938"/>
      <c r="F246" s="977"/>
      <c r="G246" s="1002"/>
      <c r="H246" s="1002"/>
      <c r="I246" s="1002"/>
      <c r="J246" s="1002"/>
      <c r="K246" s="1005"/>
      <c r="L246" s="1028"/>
      <c r="M246" s="1019"/>
    </row>
    <row r="247" spans="1:13">
      <c r="A247" s="942">
        <f t="shared" ref="A247:A249" si="40">A246+0.01</f>
        <v>13.01</v>
      </c>
      <c r="B247" s="888" t="s">
        <v>711</v>
      </c>
      <c r="C247" s="34" t="s">
        <v>703</v>
      </c>
      <c r="D247" s="1036">
        <v>120</v>
      </c>
      <c r="E247" s="938">
        <v>130</v>
      </c>
      <c r="F247" s="943">
        <f t="shared" ref="F247:F249" si="41">D247*E247</f>
        <v>15600</v>
      </c>
      <c r="G247" s="1002"/>
      <c r="H247" s="190">
        <v>120</v>
      </c>
      <c r="I247" s="1003">
        <f t="shared" ref="I247:I249" si="42">G247+H247</f>
        <v>120</v>
      </c>
      <c r="J247" s="1008">
        <f t="shared" ref="J247:J249" si="43">I247/D247</f>
        <v>1</v>
      </c>
      <c r="K247" s="1005"/>
      <c r="L247" s="947">
        <f t="shared" ref="L247:L249" si="44">H247*E247</f>
        <v>15600</v>
      </c>
      <c r="M247" s="1018">
        <f t="shared" ref="M247:M250" si="45">K247+L247</f>
        <v>15600</v>
      </c>
    </row>
    <row r="248" spans="1:13">
      <c r="A248" s="942">
        <f t="shared" si="40"/>
        <v>13.02</v>
      </c>
      <c r="B248" s="888" t="s">
        <v>712</v>
      </c>
      <c r="C248" s="34" t="s">
        <v>32</v>
      </c>
      <c r="D248" s="1036">
        <v>1</v>
      </c>
      <c r="E248" s="938">
        <v>8000</v>
      </c>
      <c r="F248" s="943">
        <f t="shared" si="41"/>
        <v>8000</v>
      </c>
      <c r="G248" s="1002"/>
      <c r="H248" s="190">
        <v>1</v>
      </c>
      <c r="I248" s="1003">
        <f t="shared" si="42"/>
        <v>1</v>
      </c>
      <c r="J248" s="1008">
        <f t="shared" si="43"/>
        <v>1</v>
      </c>
      <c r="K248" s="1005"/>
      <c r="L248" s="947">
        <f t="shared" si="44"/>
        <v>8000</v>
      </c>
      <c r="M248" s="1018">
        <f t="shared" si="45"/>
        <v>8000</v>
      </c>
    </row>
    <row r="249" spans="1:13">
      <c r="A249" s="942">
        <f t="shared" si="40"/>
        <v>13.03</v>
      </c>
      <c r="B249" s="1021" t="s">
        <v>713</v>
      </c>
      <c r="C249" s="1000" t="s">
        <v>714</v>
      </c>
      <c r="D249" s="1036">
        <v>1</v>
      </c>
      <c r="E249" s="938">
        <v>20000</v>
      </c>
      <c r="F249" s="943">
        <f t="shared" si="41"/>
        <v>20000</v>
      </c>
      <c r="G249" s="1002"/>
      <c r="H249" s="190">
        <v>1</v>
      </c>
      <c r="I249" s="1003">
        <f t="shared" si="42"/>
        <v>1</v>
      </c>
      <c r="J249" s="1008">
        <f t="shared" si="43"/>
        <v>1</v>
      </c>
      <c r="K249" s="1005"/>
      <c r="L249" s="947">
        <f t="shared" si="44"/>
        <v>20000</v>
      </c>
      <c r="M249" s="1018">
        <f t="shared" si="45"/>
        <v>20000</v>
      </c>
    </row>
    <row r="250" spans="1:13">
      <c r="A250" s="998"/>
      <c r="B250" s="887" t="s">
        <v>39</v>
      </c>
      <c r="C250" s="1000"/>
      <c r="D250" s="1000"/>
      <c r="E250" s="1000"/>
      <c r="F250" s="1012">
        <f>SUM(F247:F249)</f>
        <v>43600</v>
      </c>
      <c r="G250" s="1002"/>
      <c r="H250" s="1002"/>
      <c r="I250" s="1002"/>
      <c r="J250" s="1002"/>
      <c r="K250" s="1005"/>
      <c r="L250" s="1028">
        <f>SUM(L247:L249)</f>
        <v>43600</v>
      </c>
      <c r="M250" s="1029">
        <f t="shared" si="45"/>
        <v>43600</v>
      </c>
    </row>
    <row r="251" spans="1:13">
      <c r="A251" s="998"/>
      <c r="B251" s="887"/>
      <c r="C251" s="1000"/>
      <c r="D251" s="1000"/>
      <c r="E251" s="1000"/>
      <c r="F251" s="1012"/>
      <c r="G251" s="1002"/>
      <c r="H251" s="1002"/>
      <c r="I251" s="1002"/>
      <c r="J251" s="1002"/>
      <c r="K251" s="1005"/>
      <c r="L251" s="1028"/>
      <c r="M251" s="1029"/>
    </row>
    <row r="252" spans="1:13">
      <c r="A252" s="978">
        <v>14</v>
      </c>
      <c r="B252" s="887" t="s">
        <v>715</v>
      </c>
      <c r="C252" s="1000"/>
      <c r="D252" s="1000"/>
      <c r="E252" s="1000"/>
      <c r="F252" s="1012"/>
      <c r="G252" s="1002"/>
      <c r="H252" s="1002"/>
      <c r="I252" s="1002"/>
      <c r="J252" s="1002"/>
      <c r="K252" s="1005"/>
      <c r="L252" s="1028"/>
      <c r="M252" s="1029"/>
    </row>
    <row r="253" spans="1:13">
      <c r="A253" s="942">
        <f t="shared" ref="A253:A260" si="46">A252+0.01</f>
        <v>14.01</v>
      </c>
      <c r="B253" s="887" t="s">
        <v>716</v>
      </c>
      <c r="C253" s="1000" t="s">
        <v>714</v>
      </c>
      <c r="D253" s="1000">
        <v>1</v>
      </c>
      <c r="E253" s="938">
        <v>30000</v>
      </c>
      <c r="F253" s="943">
        <f t="shared" ref="F253:F260" si="47">D253*E253</f>
        <v>30000</v>
      </c>
      <c r="G253" s="1002"/>
      <c r="H253" s="1037">
        <v>1</v>
      </c>
      <c r="I253" s="1003">
        <f t="shared" ref="I253:I260" si="48">G253+H253</f>
        <v>1</v>
      </c>
      <c r="J253" s="1008">
        <f t="shared" ref="J253:J260" si="49">I253/D253</f>
        <v>1</v>
      </c>
      <c r="K253" s="1005"/>
      <c r="L253" s="947">
        <f t="shared" ref="L253:L260" si="50">H253*E253</f>
        <v>30000</v>
      </c>
      <c r="M253" s="1018">
        <f t="shared" ref="M253:M261" si="51">K253+L253</f>
        <v>30000</v>
      </c>
    </row>
    <row r="254" spans="1:13">
      <c r="A254" s="942">
        <f t="shared" si="46"/>
        <v>14.02</v>
      </c>
      <c r="B254" s="887" t="s">
        <v>717</v>
      </c>
      <c r="C254" s="1000" t="s">
        <v>703</v>
      </c>
      <c r="D254" s="1000">
        <v>30</v>
      </c>
      <c r="E254" s="1000">
        <v>32</v>
      </c>
      <c r="F254" s="943">
        <f t="shared" si="47"/>
        <v>960</v>
      </c>
      <c r="G254" s="1002"/>
      <c r="H254" s="1037">
        <v>30</v>
      </c>
      <c r="I254" s="1003">
        <f t="shared" si="48"/>
        <v>30</v>
      </c>
      <c r="J254" s="1008">
        <f t="shared" si="49"/>
        <v>1</v>
      </c>
      <c r="K254" s="1005"/>
      <c r="L254" s="947">
        <f t="shared" si="50"/>
        <v>960</v>
      </c>
      <c r="M254" s="1018">
        <f t="shared" si="51"/>
        <v>960</v>
      </c>
    </row>
    <row r="255" spans="1:13">
      <c r="A255" s="942">
        <f t="shared" si="46"/>
        <v>14.03</v>
      </c>
      <c r="B255" s="887" t="s">
        <v>718</v>
      </c>
      <c r="C255" s="1000" t="s">
        <v>703</v>
      </c>
      <c r="D255" s="1000">
        <v>10</v>
      </c>
      <c r="E255" s="1000">
        <v>95</v>
      </c>
      <c r="F255" s="943">
        <f t="shared" si="47"/>
        <v>950</v>
      </c>
      <c r="G255" s="1002"/>
      <c r="H255" s="1037">
        <v>10</v>
      </c>
      <c r="I255" s="1003">
        <f t="shared" si="48"/>
        <v>10</v>
      </c>
      <c r="J255" s="1008">
        <f t="shared" si="49"/>
        <v>1</v>
      </c>
      <c r="K255" s="1005"/>
      <c r="L255" s="947">
        <f t="shared" si="50"/>
        <v>950</v>
      </c>
      <c r="M255" s="1018">
        <f t="shared" si="51"/>
        <v>950</v>
      </c>
    </row>
    <row r="256" spans="1:13">
      <c r="A256" s="942">
        <f t="shared" si="46"/>
        <v>14.04</v>
      </c>
      <c r="B256" s="887" t="s">
        <v>719</v>
      </c>
      <c r="C256" s="1000" t="s">
        <v>714</v>
      </c>
      <c r="D256" s="1000">
        <v>1</v>
      </c>
      <c r="E256" s="1000">
        <v>3500</v>
      </c>
      <c r="F256" s="943">
        <f t="shared" si="47"/>
        <v>3500</v>
      </c>
      <c r="G256" s="1002"/>
      <c r="H256" s="1037">
        <v>1</v>
      </c>
      <c r="I256" s="1003">
        <f t="shared" si="48"/>
        <v>1</v>
      </c>
      <c r="J256" s="1008">
        <f t="shared" si="49"/>
        <v>1</v>
      </c>
      <c r="K256" s="1005"/>
      <c r="L256" s="947">
        <f t="shared" si="50"/>
        <v>3500</v>
      </c>
      <c r="M256" s="1018">
        <f t="shared" si="51"/>
        <v>3500</v>
      </c>
    </row>
    <row r="257" spans="1:13">
      <c r="A257" s="942">
        <f t="shared" si="46"/>
        <v>14.049999999999999</v>
      </c>
      <c r="B257" s="887" t="s">
        <v>720</v>
      </c>
      <c r="C257" s="1000" t="s">
        <v>714</v>
      </c>
      <c r="D257" s="1000">
        <v>2</v>
      </c>
      <c r="E257" s="1000">
        <v>93</v>
      </c>
      <c r="F257" s="943">
        <f t="shared" si="47"/>
        <v>186</v>
      </c>
      <c r="G257" s="1002"/>
      <c r="H257" s="1037">
        <v>2</v>
      </c>
      <c r="I257" s="1003">
        <f t="shared" si="48"/>
        <v>2</v>
      </c>
      <c r="J257" s="1008">
        <f t="shared" si="49"/>
        <v>1</v>
      </c>
      <c r="K257" s="1005"/>
      <c r="L257" s="947">
        <f t="shared" si="50"/>
        <v>186</v>
      </c>
      <c r="M257" s="1018">
        <f t="shared" si="51"/>
        <v>186</v>
      </c>
    </row>
    <row r="258" spans="1:13">
      <c r="A258" s="942">
        <f t="shared" si="46"/>
        <v>14.059999999999999</v>
      </c>
      <c r="B258" s="887" t="s">
        <v>712</v>
      </c>
      <c r="C258" s="1000" t="s">
        <v>714</v>
      </c>
      <c r="D258" s="1000">
        <v>1</v>
      </c>
      <c r="E258" s="1000">
        <v>7500</v>
      </c>
      <c r="F258" s="943">
        <f t="shared" si="47"/>
        <v>7500</v>
      </c>
      <c r="G258" s="1002"/>
      <c r="H258" s="1037">
        <v>1</v>
      </c>
      <c r="I258" s="1003">
        <f t="shared" si="48"/>
        <v>1</v>
      </c>
      <c r="J258" s="1008">
        <f t="shared" si="49"/>
        <v>1</v>
      </c>
      <c r="K258" s="1005"/>
      <c r="L258" s="947">
        <f t="shared" si="50"/>
        <v>7500</v>
      </c>
      <c r="M258" s="1018">
        <f t="shared" si="51"/>
        <v>7500</v>
      </c>
    </row>
    <row r="259" spans="1:13">
      <c r="A259" s="942">
        <f t="shared" si="46"/>
        <v>14.069999999999999</v>
      </c>
      <c r="B259" s="887" t="s">
        <v>721</v>
      </c>
      <c r="C259" s="1000" t="s">
        <v>714</v>
      </c>
      <c r="D259" s="1000">
        <v>1</v>
      </c>
      <c r="E259" s="1000">
        <v>22000</v>
      </c>
      <c r="F259" s="943">
        <f t="shared" si="47"/>
        <v>22000</v>
      </c>
      <c r="G259" s="1002"/>
      <c r="H259" s="1037">
        <v>1</v>
      </c>
      <c r="I259" s="1003">
        <f t="shared" si="48"/>
        <v>1</v>
      </c>
      <c r="J259" s="1008">
        <f t="shared" si="49"/>
        <v>1</v>
      </c>
      <c r="K259" s="1005"/>
      <c r="L259" s="947">
        <f t="shared" si="50"/>
        <v>22000</v>
      </c>
      <c r="M259" s="1018">
        <f t="shared" si="51"/>
        <v>22000</v>
      </c>
    </row>
    <row r="260" spans="1:13">
      <c r="A260" s="942">
        <f t="shared" si="46"/>
        <v>14.079999999999998</v>
      </c>
      <c r="B260" s="887" t="s">
        <v>722</v>
      </c>
      <c r="C260" s="1000" t="s">
        <v>714</v>
      </c>
      <c r="D260" s="1000">
        <v>1</v>
      </c>
      <c r="E260" s="1038">
        <v>102300</v>
      </c>
      <c r="F260" s="943">
        <f t="shared" si="47"/>
        <v>102300</v>
      </c>
      <c r="G260" s="1002"/>
      <c r="H260" s="1037">
        <v>1</v>
      </c>
      <c r="I260" s="1003">
        <f t="shared" si="48"/>
        <v>1</v>
      </c>
      <c r="J260" s="1008">
        <f t="shared" si="49"/>
        <v>1</v>
      </c>
      <c r="K260" s="1005"/>
      <c r="L260" s="947">
        <f t="shared" si="50"/>
        <v>102300</v>
      </c>
      <c r="M260" s="1018">
        <f t="shared" si="51"/>
        <v>102300</v>
      </c>
    </row>
    <row r="261" spans="1:13">
      <c r="A261" s="998"/>
      <c r="B261" s="887" t="s">
        <v>39</v>
      </c>
      <c r="C261" s="998"/>
      <c r="D261" s="998"/>
      <c r="E261" s="998"/>
      <c r="F261" s="1039">
        <f>SUM(F253:F260)</f>
        <v>167396</v>
      </c>
      <c r="G261" s="1002"/>
      <c r="H261" s="1002"/>
      <c r="I261" s="1002"/>
      <c r="J261" s="1002"/>
      <c r="K261" s="1005"/>
      <c r="L261" s="1028">
        <f>SUM(L253:L260)</f>
        <v>167396</v>
      </c>
      <c r="M261" s="1028">
        <f t="shared" si="51"/>
        <v>167396</v>
      </c>
    </row>
    <row r="262" spans="1:13">
      <c r="B262" s="904" t="s">
        <v>82</v>
      </c>
      <c r="C262" s="905"/>
      <c r="D262" s="905"/>
      <c r="E262" s="905"/>
      <c r="F262" s="906">
        <f>F160</f>
        <v>11865338.77122188</v>
      </c>
      <c r="K262" s="426">
        <f>K160</f>
        <v>5815644.7412599996</v>
      </c>
      <c r="L262" s="906"/>
      <c r="M262" s="1040">
        <f>K262+L262</f>
        <v>5815644.7412599996</v>
      </c>
    </row>
    <row r="263" spans="1:13">
      <c r="B263" s="904" t="s">
        <v>81</v>
      </c>
      <c r="C263" s="905"/>
      <c r="D263" s="905"/>
      <c r="E263" s="905"/>
      <c r="F263" s="208">
        <f>F223+F208+F203+F195+F192+F186+F183+F179+F174+F171+F238+F244+F250+F261</f>
        <v>4642276.7482000003</v>
      </c>
      <c r="K263" s="426">
        <f>K203+K195+K192+K179+K174+K171</f>
        <v>1817445.4582</v>
      </c>
      <c r="L263" s="906">
        <f>L223++L208+L186+L238+L244+L250+L261+L183</f>
        <v>2564599.9500000002</v>
      </c>
      <c r="M263" s="1041">
        <f>K263+L263</f>
        <v>4382045.4082000004</v>
      </c>
    </row>
    <row r="264" spans="1:13">
      <c r="B264" s="126" t="s">
        <v>83</v>
      </c>
      <c r="C264" s="7"/>
      <c r="D264" s="7"/>
      <c r="F264" s="908">
        <f>F155+F154+F131+F124+F121+F108+F98+F79+F58</f>
        <v>5323345.6599618802</v>
      </c>
      <c r="K264" s="426"/>
      <c r="L264" s="426"/>
      <c r="M264" s="426"/>
    </row>
    <row r="265" spans="1:13">
      <c r="B265" s="10" t="s">
        <v>84</v>
      </c>
      <c r="C265" s="7"/>
      <c r="D265" s="7"/>
      <c r="E265" s="324"/>
      <c r="F265" s="854">
        <f>F262-F264</f>
        <v>6541993.1112599997</v>
      </c>
      <c r="K265" s="1042"/>
      <c r="L265" s="426"/>
      <c r="M265" s="426"/>
    </row>
    <row r="266" spans="1:13">
      <c r="B266" s="904" t="s">
        <v>85</v>
      </c>
      <c r="C266" s="905"/>
      <c r="D266" s="905"/>
      <c r="E266" s="905"/>
      <c r="F266" s="854">
        <f>F265</f>
        <v>6541993.1112599997</v>
      </c>
      <c r="K266" s="426">
        <f>K262+K263</f>
        <v>7633090.1994599998</v>
      </c>
      <c r="L266" s="426">
        <f>L263</f>
        <v>2564599.9500000002</v>
      </c>
      <c r="M266" s="426">
        <f>K266+L266</f>
        <v>10197690.149459999</v>
      </c>
    </row>
    <row r="267" spans="1:13">
      <c r="B267" s="98"/>
      <c r="K267" s="116"/>
      <c r="L267" s="426"/>
      <c r="M267" s="426"/>
    </row>
    <row r="268" spans="1:13">
      <c r="B268" s="98"/>
      <c r="K268" s="116"/>
      <c r="L268" s="426"/>
      <c r="M268" s="426"/>
    </row>
    <row r="269" spans="1:13">
      <c r="B269" s="98"/>
      <c r="K269" s="116"/>
      <c r="L269" s="426"/>
      <c r="M269" s="426"/>
    </row>
    <row r="270" spans="1:13">
      <c r="B270" s="98"/>
      <c r="K270" s="116"/>
      <c r="L270" s="426"/>
      <c r="M270" s="426"/>
    </row>
    <row r="271" spans="1:13">
      <c r="B271" s="98"/>
      <c r="K271" s="116"/>
      <c r="L271" s="426"/>
      <c r="M271" s="426"/>
    </row>
    <row r="272" spans="1:13">
      <c r="B272" s="98"/>
      <c r="K272" s="116"/>
      <c r="L272" s="426"/>
      <c r="M272" s="426"/>
    </row>
    <row r="273" spans="2:13">
      <c r="B273" s="98"/>
      <c r="K273" s="116"/>
      <c r="L273" s="426"/>
      <c r="M273" s="426"/>
    </row>
    <row r="274" spans="2:13">
      <c r="B274" s="98"/>
      <c r="K274" s="116"/>
      <c r="L274" s="426"/>
      <c r="M274" s="426"/>
    </row>
    <row r="275" spans="2:13">
      <c r="B275" s="98"/>
      <c r="K275" s="116"/>
      <c r="L275" s="426"/>
      <c r="M275" s="426"/>
    </row>
    <row r="276" spans="2:13">
      <c r="B276" s="98"/>
      <c r="K276" s="116"/>
      <c r="L276" s="426"/>
      <c r="M276" s="426"/>
    </row>
    <row r="277" spans="2:13">
      <c r="B277" s="98"/>
      <c r="K277" s="116"/>
      <c r="L277" s="426"/>
      <c r="M277" s="426"/>
    </row>
    <row r="278" spans="2:13">
      <c r="B278" s="98"/>
      <c r="G278" s="2" t="s">
        <v>1</v>
      </c>
      <c r="H278" s="2"/>
      <c r="I278" s="2"/>
      <c r="J278" s="2"/>
      <c r="K278" s="2"/>
      <c r="L278" s="2"/>
      <c r="M278" s="2"/>
    </row>
    <row r="279" spans="2:13">
      <c r="B279" s="98"/>
      <c r="G279" s="2"/>
      <c r="H279" s="2"/>
      <c r="I279" s="2"/>
      <c r="J279" s="2"/>
      <c r="K279" s="2"/>
      <c r="L279" s="2"/>
      <c r="M279" s="159" t="s">
        <v>723</v>
      </c>
    </row>
    <row r="280" spans="2:13">
      <c r="E280" s="1043" t="s">
        <v>0</v>
      </c>
      <c r="F280" s="1043"/>
      <c r="G280" s="10"/>
      <c r="H280" s="10"/>
      <c r="I280" s="7"/>
      <c r="J280" s="127"/>
      <c r="K280" s="127"/>
      <c r="L280" s="127"/>
      <c r="M280" s="7"/>
    </row>
    <row r="281" spans="2:13">
      <c r="C281" s="2"/>
      <c r="D281" s="2"/>
      <c r="E281" s="2"/>
      <c r="F281" s="2"/>
      <c r="G281" s="10"/>
      <c r="H281" s="10"/>
      <c r="I281" s="7"/>
      <c r="J281" s="7"/>
      <c r="K281" s="7"/>
      <c r="L281" s="5" t="s">
        <v>5</v>
      </c>
      <c r="M281" s="131">
        <v>16206557.119999999</v>
      </c>
    </row>
    <row r="282" spans="2:13">
      <c r="B282" s="2"/>
      <c r="C282" s="2"/>
      <c r="D282" s="2"/>
      <c r="E282" s="2"/>
      <c r="G282" s="10"/>
      <c r="H282" s="10"/>
      <c r="I282" s="7"/>
      <c r="J282" s="7"/>
      <c r="K282" s="7"/>
      <c r="L282" s="5" t="s">
        <v>8</v>
      </c>
      <c r="M282" s="131">
        <v>3241311.42</v>
      </c>
    </row>
    <row r="283" spans="2:13">
      <c r="B283" s="127"/>
      <c r="C283" s="127"/>
      <c r="D283" s="127"/>
      <c r="E283" s="127"/>
      <c r="F283" s="127"/>
      <c r="G283" s="10"/>
      <c r="H283" s="10"/>
      <c r="I283" s="7"/>
      <c r="J283" s="7"/>
      <c r="K283" s="7"/>
      <c r="L283" s="5" t="s">
        <v>12</v>
      </c>
      <c r="M283" s="132" t="s">
        <v>540</v>
      </c>
    </row>
    <row r="284" spans="2:13">
      <c r="B284" s="7"/>
      <c r="C284" s="5" t="s">
        <v>3</v>
      </c>
      <c r="D284" s="10" t="s">
        <v>539</v>
      </c>
      <c r="E284" s="10"/>
      <c r="F284" s="10"/>
      <c r="G284" s="10"/>
      <c r="H284" s="10"/>
      <c r="I284" s="7"/>
      <c r="J284" s="7"/>
      <c r="K284" s="7"/>
      <c r="L284" s="7"/>
      <c r="M284" s="7"/>
    </row>
    <row r="285" spans="2:13">
      <c r="B285" s="7"/>
      <c r="C285" s="5" t="s">
        <v>7</v>
      </c>
      <c r="D285" s="9">
        <v>3</v>
      </c>
      <c r="E285" s="7"/>
      <c r="F285" s="10"/>
      <c r="G285" s="153"/>
    </row>
    <row r="286" spans="2:13">
      <c r="B286" s="7"/>
      <c r="C286" s="5" t="s">
        <v>9</v>
      </c>
      <c r="D286" s="10" t="s">
        <v>534</v>
      </c>
      <c r="E286" s="10"/>
      <c r="F286" s="10"/>
      <c r="G286" s="153"/>
    </row>
    <row r="287" spans="2:13">
      <c r="B287" s="7"/>
      <c r="C287" s="5" t="s">
        <v>14</v>
      </c>
      <c r="D287" s="10" t="s">
        <v>541</v>
      </c>
      <c r="E287" s="10"/>
      <c r="F287" s="10"/>
      <c r="G287" s="153"/>
      <c r="H287" s="1228"/>
      <c r="I287" s="1228"/>
      <c r="J287" s="1152"/>
      <c r="K287" s="1152"/>
      <c r="L287" s="7"/>
    </row>
    <row r="288" spans="2:13">
      <c r="C288" s="5"/>
      <c r="D288" s="10"/>
      <c r="E288" s="10"/>
      <c r="F288" s="127" t="s">
        <v>90</v>
      </c>
      <c r="G288" s="153"/>
      <c r="H288" s="1228" t="s">
        <v>25</v>
      </c>
      <c r="I288" s="1228"/>
      <c r="J288" s="1085" t="s">
        <v>26</v>
      </c>
      <c r="K288" s="1085"/>
      <c r="L288" s="1085" t="s">
        <v>27</v>
      </c>
      <c r="M288" s="1085"/>
    </row>
    <row r="289" spans="2:13">
      <c r="B289" s="9" t="s">
        <v>91</v>
      </c>
      <c r="C289" s="318"/>
      <c r="D289" s="318"/>
      <c r="F289" s="134">
        <f>F263+F266</f>
        <v>11184269.85946</v>
      </c>
      <c r="G289" s="153"/>
      <c r="H289" s="1232">
        <f>K266</f>
        <v>7633090.1994599998</v>
      </c>
      <c r="I289" s="1232"/>
      <c r="J289" s="1096">
        <f>L266</f>
        <v>2564599.9500000002</v>
      </c>
      <c r="K289" s="1096"/>
      <c r="L289" s="1088">
        <f>H289+J289</f>
        <v>10197690.149459999</v>
      </c>
      <c r="M289" s="1088"/>
    </row>
    <row r="290" spans="2:13">
      <c r="E290" s="10"/>
      <c r="F290" s="10"/>
      <c r="G290" s="1044"/>
      <c r="J290" s="1096"/>
      <c r="K290" s="1096"/>
      <c r="L290" s="1096"/>
      <c r="M290" s="1096"/>
    </row>
    <row r="291" spans="2:13">
      <c r="B291" s="9" t="s">
        <v>93</v>
      </c>
      <c r="C291" s="10"/>
      <c r="E291" s="10"/>
      <c r="F291" s="10"/>
      <c r="G291" s="1044"/>
      <c r="H291" s="1228"/>
      <c r="I291" s="1228"/>
      <c r="J291" s="1096"/>
      <c r="K291" s="1096"/>
      <c r="L291" s="1096"/>
      <c r="M291" s="1096"/>
    </row>
    <row r="292" spans="2:13">
      <c r="B292" s="9" t="s">
        <v>94</v>
      </c>
    </row>
    <row r="293" spans="2:13">
      <c r="B293" s="10" t="s">
        <v>95</v>
      </c>
      <c r="C293" s="142">
        <v>3.5000000000000003E-2</v>
      </c>
      <c r="F293" s="153">
        <f>C293*F289</f>
        <v>391449.44508110004</v>
      </c>
      <c r="G293" s="1045"/>
      <c r="H293" s="1085">
        <f>H289*C293</f>
        <v>267158.15698110004</v>
      </c>
      <c r="I293" s="1088"/>
      <c r="J293" s="1088">
        <f>J289*C293</f>
        <v>89760.998250000019</v>
      </c>
      <c r="K293" s="1088"/>
      <c r="L293" s="1096">
        <f>J293+H293</f>
        <v>356919.15523110004</v>
      </c>
      <c r="M293" s="1096"/>
    </row>
    <row r="294" spans="2:13">
      <c r="B294" s="10" t="s">
        <v>96</v>
      </c>
      <c r="C294" s="144">
        <v>0.1</v>
      </c>
      <c r="F294" s="153">
        <f>C294*F289</f>
        <v>1118426.9859460001</v>
      </c>
      <c r="G294" s="7"/>
      <c r="H294" s="1088">
        <f>H289*C294</f>
        <v>763309.01994600007</v>
      </c>
      <c r="I294" s="1088"/>
      <c r="J294" s="1088">
        <f>J289*C294</f>
        <v>256459.99500000002</v>
      </c>
      <c r="K294" s="1088"/>
      <c r="L294" s="153">
        <f t="shared" ref="L294:L299" si="52">J294+H294</f>
        <v>1019769.0149460001</v>
      </c>
      <c r="M294" s="153"/>
    </row>
    <row r="295" spans="2:13">
      <c r="B295" s="10" t="s">
        <v>97</v>
      </c>
      <c r="C295" s="144">
        <v>0.18</v>
      </c>
      <c r="F295" s="153">
        <f>C295*F294</f>
        <v>201316.85747028</v>
      </c>
      <c r="G295" s="7"/>
      <c r="H295" s="1088">
        <f>H294*C295</f>
        <v>137395.62359028001</v>
      </c>
      <c r="I295" s="1088"/>
      <c r="J295" s="1088">
        <f>J294*C295</f>
        <v>46162.799100000004</v>
      </c>
      <c r="K295" s="1088"/>
      <c r="L295" s="153">
        <f t="shared" si="52"/>
        <v>183558.42269028001</v>
      </c>
      <c r="M295" s="153"/>
    </row>
    <row r="296" spans="2:13">
      <c r="B296" s="10" t="s">
        <v>98</v>
      </c>
      <c r="C296" s="144">
        <v>0.03</v>
      </c>
      <c r="F296" s="153">
        <f>C296*F289</f>
        <v>335528.0957838</v>
      </c>
      <c r="G296" s="7"/>
      <c r="H296" s="1160">
        <f>H289*C296</f>
        <v>228992.7059838</v>
      </c>
      <c r="I296" s="1160"/>
      <c r="J296" s="1160">
        <f>J289*C296</f>
        <v>76937.998500000002</v>
      </c>
      <c r="K296" s="1160"/>
      <c r="L296" s="153">
        <f t="shared" si="52"/>
        <v>305930.70448379999</v>
      </c>
      <c r="M296" s="153"/>
    </row>
    <row r="297" spans="2:13">
      <c r="B297" s="10" t="s">
        <v>99</v>
      </c>
      <c r="C297" s="163">
        <v>0.02</v>
      </c>
      <c r="F297" s="153">
        <f>C297*F289</f>
        <v>223685.39718920001</v>
      </c>
      <c r="G297" s="7"/>
      <c r="H297" s="1088">
        <f>H289*C297</f>
        <v>152661.80398920001</v>
      </c>
      <c r="I297" s="1088"/>
      <c r="J297" s="1088">
        <f>J289*C297</f>
        <v>51291.999000000003</v>
      </c>
      <c r="K297" s="1088"/>
      <c r="L297" s="153">
        <f t="shared" si="52"/>
        <v>203953.80298920002</v>
      </c>
      <c r="M297" s="153"/>
    </row>
    <row r="298" spans="2:13">
      <c r="B298" s="10" t="s">
        <v>100</v>
      </c>
      <c r="C298" s="144">
        <v>0.01</v>
      </c>
      <c r="F298" s="153">
        <f>C298*F289</f>
        <v>111842.69859460001</v>
      </c>
      <c r="G298" s="7"/>
      <c r="H298" s="1160">
        <f>H289*C298</f>
        <v>76330.901994600004</v>
      </c>
      <c r="I298" s="1160"/>
      <c r="J298" s="1160">
        <f>J289*C298</f>
        <v>25645.999500000002</v>
      </c>
      <c r="K298" s="1160"/>
      <c r="L298" s="153">
        <f t="shared" si="52"/>
        <v>101976.90149460001</v>
      </c>
      <c r="M298" s="153"/>
    </row>
    <row r="299" spans="2:13">
      <c r="B299" s="10" t="s">
        <v>101</v>
      </c>
      <c r="C299" s="259">
        <v>1E-3</v>
      </c>
      <c r="F299" s="1046">
        <f>C299*F289</f>
        <v>11184.269859460001</v>
      </c>
      <c r="G299" s="159"/>
      <c r="H299" s="1233">
        <f>H289*C299</f>
        <v>7633.0901994599999</v>
      </c>
      <c r="I299" s="1233"/>
      <c r="J299" s="1233">
        <f>J289*C299</f>
        <v>2564.5999500000003</v>
      </c>
      <c r="K299" s="1233"/>
      <c r="L299" s="153">
        <f t="shared" si="52"/>
        <v>10197.690149460001</v>
      </c>
      <c r="M299" s="153"/>
    </row>
    <row r="300" spans="2:13">
      <c r="B300" s="152" t="s">
        <v>104</v>
      </c>
      <c r="C300" s="148">
        <f>C293+C294+C295+C296+C297+C298+C299</f>
        <v>0.376</v>
      </c>
      <c r="F300" s="1044">
        <f>F293+F294+F295+F296+F297+F298+F299</f>
        <v>2393433.7499244404</v>
      </c>
      <c r="G300" s="159"/>
      <c r="H300" s="1088">
        <f>SUM(H293:I299)</f>
        <v>1633481.30268444</v>
      </c>
      <c r="I300" s="1088"/>
      <c r="J300" s="1088">
        <f>SUM(J293:K299)</f>
        <v>548824.38930000004</v>
      </c>
      <c r="K300" s="1088"/>
      <c r="L300" s="153">
        <f>J300+H300</f>
        <v>2182305.6919844402</v>
      </c>
      <c r="M300" s="153"/>
    </row>
    <row r="301" spans="2:13">
      <c r="B301" s="138"/>
      <c r="C301" s="9" t="s">
        <v>271</v>
      </c>
      <c r="D301" s="155"/>
      <c r="E301" s="156"/>
      <c r="F301" s="1044">
        <f>F289+F300</f>
        <v>13577703.60938444</v>
      </c>
      <c r="G301" s="159"/>
      <c r="H301" s="7"/>
      <c r="I301" s="7"/>
      <c r="J301" s="7"/>
      <c r="K301" s="7"/>
      <c r="L301" s="1152"/>
      <c r="M301" s="1152"/>
    </row>
    <row r="302" spans="2:13">
      <c r="B302" s="138"/>
      <c r="C302" s="9"/>
      <c r="D302" s="155"/>
      <c r="E302" s="156"/>
      <c r="F302" s="1044"/>
      <c r="G302" s="159"/>
      <c r="H302" s="7"/>
      <c r="I302" s="7"/>
      <c r="J302" s="159"/>
      <c r="K302" s="159"/>
      <c r="L302" s="159"/>
      <c r="M302" s="159"/>
    </row>
    <row r="303" spans="2:13">
      <c r="B303" s="388" t="s">
        <v>724</v>
      </c>
      <c r="C303" s="144">
        <v>0.05</v>
      </c>
      <c r="D303" s="155"/>
      <c r="F303" s="1047">
        <f>C303*F289</f>
        <v>559213.49297300004</v>
      </c>
      <c r="G303" s="159"/>
      <c r="H303" s="96"/>
      <c r="I303" s="96"/>
      <c r="L303" s="1141"/>
      <c r="M303" s="1141"/>
    </row>
    <row r="304" spans="2:13">
      <c r="B304" s="388" t="s">
        <v>725</v>
      </c>
      <c r="C304" s="156" t="s">
        <v>55</v>
      </c>
      <c r="F304" s="1047">
        <v>78000</v>
      </c>
      <c r="G304" s="159"/>
      <c r="H304" s="96"/>
      <c r="I304" s="96"/>
      <c r="L304" s="1141"/>
      <c r="M304" s="1141"/>
    </row>
    <row r="305" spans="2:13">
      <c r="B305" s="388" t="s">
        <v>726</v>
      </c>
      <c r="C305" s="156" t="s">
        <v>55</v>
      </c>
      <c r="F305" s="1047">
        <v>180000</v>
      </c>
      <c r="G305" s="159"/>
      <c r="H305" s="96"/>
      <c r="I305" s="96"/>
      <c r="L305" s="1141"/>
      <c r="M305" s="1141"/>
    </row>
    <row r="306" spans="2:13">
      <c r="B306" s="9" t="s">
        <v>727</v>
      </c>
      <c r="C306" s="156" t="s">
        <v>55</v>
      </c>
      <c r="F306" s="1047">
        <v>357502.44</v>
      </c>
      <c r="H306" s="442"/>
      <c r="L306" s="1141"/>
      <c r="M306" s="1141"/>
    </row>
    <row r="307" spans="2:13">
      <c r="B307" s="9" t="s">
        <v>728</v>
      </c>
      <c r="C307" s="144">
        <v>0.05</v>
      </c>
      <c r="F307" s="1047">
        <f>C307*F289</f>
        <v>559213.49297300004</v>
      </c>
      <c r="H307" s="1048"/>
      <c r="I307" s="1048"/>
      <c r="L307" s="1156"/>
      <c r="M307" s="1156"/>
    </row>
    <row r="308" spans="2:13">
      <c r="B308" s="9" t="s">
        <v>39</v>
      </c>
      <c r="C308" s="155"/>
      <c r="F308" s="1047">
        <f>SUM(F303:F307)</f>
        <v>1733929.425946</v>
      </c>
      <c r="H308" s="1091"/>
      <c r="I308" s="1091"/>
      <c r="J308" s="1234"/>
      <c r="K308" s="1234"/>
      <c r="L308" s="169"/>
    </row>
    <row r="309" spans="2:13">
      <c r="B309" s="138"/>
      <c r="C309" s="9"/>
      <c r="D309" s="155"/>
      <c r="E309" s="159"/>
      <c r="F309" s="1047"/>
      <c r="H309" s="1049"/>
      <c r="J309" s="1235"/>
      <c r="K309" s="1235"/>
      <c r="L309" s="169"/>
    </row>
    <row r="310" spans="2:13">
      <c r="B310" s="9" t="s">
        <v>729</v>
      </c>
      <c r="C310" s="158"/>
      <c r="E310" s="159"/>
      <c r="F310" s="1050">
        <f>F308+F301</f>
        <v>15311633.035330441</v>
      </c>
      <c r="H310" s="1236">
        <f>H300+H289</f>
        <v>9266571.5021444391</v>
      </c>
      <c r="I310" s="1236"/>
      <c r="J310" s="1096">
        <f>J300+J289</f>
        <v>3113424.3393000001</v>
      </c>
      <c r="K310" s="1096"/>
      <c r="L310" s="1160">
        <f>J310+H310</f>
        <v>12379995.84144444</v>
      </c>
      <c r="M310" s="1160"/>
    </row>
    <row r="311" spans="2:13">
      <c r="B311" s="161" t="s">
        <v>106</v>
      </c>
      <c r="C311" s="7"/>
      <c r="E311" s="7"/>
      <c r="H311" s="159"/>
      <c r="I311" s="1049"/>
      <c r="J311" s="1141"/>
      <c r="K311" s="1141"/>
      <c r="L311" s="1141"/>
      <c r="M311" s="1085"/>
    </row>
    <row r="312" spans="2:13">
      <c r="B312" s="10" t="s">
        <v>100</v>
      </c>
      <c r="C312" s="7"/>
      <c r="E312" s="144">
        <v>0.01</v>
      </c>
      <c r="H312" s="1237">
        <f>H298</f>
        <v>76330.901994600004</v>
      </c>
      <c r="I312" s="1237"/>
      <c r="J312" s="1088">
        <f>J298</f>
        <v>25645.999500000002</v>
      </c>
      <c r="K312" s="1088"/>
      <c r="L312" s="1160">
        <f>H312+J312</f>
        <v>101976.90149460001</v>
      </c>
      <c r="M312" s="1160"/>
    </row>
    <row r="313" spans="2:13">
      <c r="B313" s="9" t="s">
        <v>101</v>
      </c>
      <c r="C313" s="7"/>
      <c r="E313" s="139">
        <v>1E-3</v>
      </c>
      <c r="H313" s="1237">
        <f>H299</f>
        <v>7633.0901994599999</v>
      </c>
      <c r="I313" s="1237"/>
      <c r="J313" s="1160">
        <f>J299</f>
        <v>2564.5999500000003</v>
      </c>
      <c r="K313" s="1160"/>
      <c r="L313" s="1160">
        <f>H313+J313</f>
        <v>10197.690149460001</v>
      </c>
      <c r="M313" s="1160"/>
    </row>
    <row r="314" spans="2:13">
      <c r="B314" s="9" t="s">
        <v>107</v>
      </c>
      <c r="C314" s="159"/>
      <c r="E314" s="163">
        <v>0.2</v>
      </c>
      <c r="H314" s="1237">
        <f>H310*E314</f>
        <v>1853314.3004288878</v>
      </c>
      <c r="I314" s="1237"/>
      <c r="J314" s="1160">
        <f>J310*E314</f>
        <v>622684.86786</v>
      </c>
      <c r="K314" s="1160"/>
      <c r="L314" s="1160">
        <f>H314+J314</f>
        <v>2475999.1682888879</v>
      </c>
      <c r="M314" s="1160"/>
    </row>
    <row r="315" spans="2:13">
      <c r="B315" s="7"/>
      <c r="H315" s="1237">
        <f>SUM(H312:I314)</f>
        <v>1937278.2926229478</v>
      </c>
      <c r="I315" s="1237"/>
      <c r="J315" s="1160">
        <f>SUM(J312:K314)</f>
        <v>650895.46730999998</v>
      </c>
      <c r="K315" s="1160"/>
      <c r="L315" s="1160">
        <f>H315+J315</f>
        <v>2588173.7599329478</v>
      </c>
      <c r="M315" s="1160"/>
    </row>
    <row r="316" spans="2:13">
      <c r="B316" s="7"/>
      <c r="C316" s="9" t="s">
        <v>730</v>
      </c>
      <c r="D316" s="159"/>
      <c r="E316" s="159"/>
      <c r="F316" s="1047"/>
      <c r="J316" s="1155"/>
      <c r="K316" s="1155"/>
      <c r="L316" s="1235"/>
      <c r="M316" s="1235"/>
    </row>
    <row r="317" spans="2:13">
      <c r="B317" s="7"/>
      <c r="C317" s="9" t="s">
        <v>533</v>
      </c>
      <c r="H317" s="1237">
        <f>H310-H315</f>
        <v>7329293.2095214911</v>
      </c>
      <c r="I317" s="1237"/>
      <c r="J317" s="1159">
        <f>J310-J315</f>
        <v>2462528.8719899999</v>
      </c>
      <c r="K317" s="1159"/>
      <c r="L317" s="1160">
        <f>H317+J317</f>
        <v>9791822.08151149</v>
      </c>
      <c r="M317" s="1160"/>
    </row>
    <row r="318" spans="2:13">
      <c r="B318" s="7"/>
      <c r="F318" s="7"/>
    </row>
    <row r="319" spans="2:13">
      <c r="B319" s="7"/>
      <c r="C319" s="127"/>
      <c r="D319" s="127" t="s">
        <v>109</v>
      </c>
      <c r="E319" s="127"/>
      <c r="F319" s="7"/>
      <c r="G319" s="127"/>
      <c r="H319" s="127" t="s">
        <v>110</v>
      </c>
      <c r="I319" s="127"/>
      <c r="J319" s="127"/>
      <c r="K319" s="127" t="s">
        <v>111</v>
      </c>
      <c r="L319" s="127"/>
      <c r="M319" s="127"/>
    </row>
    <row r="320" spans="2:13">
      <c r="B320" s="7"/>
      <c r="F320" s="7"/>
      <c r="G320" s="127"/>
      <c r="H320" s="127"/>
      <c r="I320" s="127"/>
      <c r="J320" s="127"/>
      <c r="K320" s="127"/>
      <c r="L320" s="127"/>
      <c r="M320" s="127"/>
    </row>
    <row r="321" spans="2:13">
      <c r="B321" s="127"/>
      <c r="C321" s="127"/>
      <c r="D321" s="127" t="s">
        <v>112</v>
      </c>
      <c r="E321" s="127"/>
      <c r="F321" s="127"/>
      <c r="G321" s="127"/>
      <c r="H321" s="127" t="s">
        <v>113</v>
      </c>
      <c r="I321" s="127"/>
      <c r="J321" s="127"/>
      <c r="K321" s="143" t="s">
        <v>273</v>
      </c>
      <c r="L321" s="143"/>
      <c r="M321" s="143"/>
    </row>
    <row r="322" spans="2:13">
      <c r="B322" s="127"/>
      <c r="C322" s="127"/>
      <c r="D322" s="127" t="s">
        <v>115</v>
      </c>
      <c r="G322" s="127"/>
      <c r="H322" s="127" t="s">
        <v>116</v>
      </c>
      <c r="I322" s="127"/>
      <c r="J322" s="127"/>
      <c r="K322" s="127" t="s">
        <v>274</v>
      </c>
      <c r="L322" s="127"/>
      <c r="M322" s="127"/>
    </row>
    <row r="323" spans="2:13">
      <c r="B323" s="127"/>
      <c r="E323" s="159"/>
      <c r="F323" s="159"/>
    </row>
    <row r="324" spans="2:13">
      <c r="B324" s="127"/>
      <c r="C324" s="159"/>
      <c r="D324" s="159"/>
      <c r="E324" s="159"/>
      <c r="F324" s="159"/>
    </row>
    <row r="325" spans="2:13">
      <c r="B325" s="127"/>
      <c r="C325" s="159"/>
      <c r="D325" s="159"/>
      <c r="E325" s="159"/>
      <c r="F325" s="159"/>
    </row>
  </sheetData>
  <mergeCells count="70">
    <mergeCell ref="J316:K316"/>
    <mergeCell ref="L316:M316"/>
    <mergeCell ref="H317:I317"/>
    <mergeCell ref="J317:K317"/>
    <mergeCell ref="L317:M317"/>
    <mergeCell ref="H314:I314"/>
    <mergeCell ref="J314:K314"/>
    <mergeCell ref="L314:M314"/>
    <mergeCell ref="H315:I315"/>
    <mergeCell ref="J315:K315"/>
    <mergeCell ref="L315:M315"/>
    <mergeCell ref="H312:I312"/>
    <mergeCell ref="J312:K312"/>
    <mergeCell ref="L312:M312"/>
    <mergeCell ref="H313:I313"/>
    <mergeCell ref="J313:K313"/>
    <mergeCell ref="L313:M313"/>
    <mergeCell ref="J309:K309"/>
    <mergeCell ref="H310:I310"/>
    <mergeCell ref="J310:K310"/>
    <mergeCell ref="L310:M310"/>
    <mergeCell ref="J311:K311"/>
    <mergeCell ref="L311:M311"/>
    <mergeCell ref="L304:M304"/>
    <mergeCell ref="L305:M305"/>
    <mergeCell ref="L306:M306"/>
    <mergeCell ref="L307:M307"/>
    <mergeCell ref="H308:I308"/>
    <mergeCell ref="J308:K308"/>
    <mergeCell ref="L303:M303"/>
    <mergeCell ref="H296:I296"/>
    <mergeCell ref="J296:K296"/>
    <mergeCell ref="H297:I297"/>
    <mergeCell ref="J297:K297"/>
    <mergeCell ref="H298:I298"/>
    <mergeCell ref="J298:K298"/>
    <mergeCell ref="H299:I299"/>
    <mergeCell ref="J299:K299"/>
    <mergeCell ref="H300:I300"/>
    <mergeCell ref="J300:K300"/>
    <mergeCell ref="L301:M301"/>
    <mergeCell ref="H295:I295"/>
    <mergeCell ref="J295:K295"/>
    <mergeCell ref="H289:I289"/>
    <mergeCell ref="J289:K289"/>
    <mergeCell ref="L289:M289"/>
    <mergeCell ref="J290:K290"/>
    <mergeCell ref="L290:M290"/>
    <mergeCell ref="H291:I291"/>
    <mergeCell ref="J291:K291"/>
    <mergeCell ref="L291:M291"/>
    <mergeCell ref="H293:I293"/>
    <mergeCell ref="J293:K293"/>
    <mergeCell ref="L293:M293"/>
    <mergeCell ref="H294:I294"/>
    <mergeCell ref="J294:K294"/>
    <mergeCell ref="H288:I288"/>
    <mergeCell ref="J288:K288"/>
    <mergeCell ref="L288:M288"/>
    <mergeCell ref="A1:M1"/>
    <mergeCell ref="A2:M2"/>
    <mergeCell ref="A9:F9"/>
    <mergeCell ref="G9:J9"/>
    <mergeCell ref="K9:M9"/>
    <mergeCell ref="A162:M162"/>
    <mergeCell ref="A163:F163"/>
    <mergeCell ref="G163:J163"/>
    <mergeCell ref="K163:M163"/>
    <mergeCell ref="H287:I287"/>
    <mergeCell ref="J287:K287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3E42D-FCB8-4768-96ED-AA3DA2FAE3F6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6C414-9D76-46D0-A05A-F180A80EE557}">
  <sheetPr codeName="Hoja9"/>
  <dimension ref="A4:N196"/>
  <sheetViews>
    <sheetView tabSelected="1" topLeftCell="A153" workbookViewId="0">
      <selection activeCell="N188" sqref="N188"/>
    </sheetView>
  </sheetViews>
  <sheetFormatPr baseColWidth="10" defaultRowHeight="15"/>
  <cols>
    <col min="1" max="1" width="11" bestFit="1" customWidth="1"/>
    <col min="2" max="2" width="38" bestFit="1" customWidth="1"/>
    <col min="4" max="4" width="11" bestFit="1" customWidth="1"/>
    <col min="5" max="5" width="12.140625" bestFit="1" customWidth="1"/>
    <col min="6" max="6" width="15.85546875" bestFit="1" customWidth="1"/>
    <col min="13" max="13" width="15.5703125" customWidth="1"/>
    <col min="14" max="14" width="15.7109375" customWidth="1"/>
  </cols>
  <sheetData>
    <row r="4" spans="1:13">
      <c r="A4" s="1085" t="s">
        <v>0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</row>
    <row r="5" spans="1:13">
      <c r="A5" s="1079" t="s">
        <v>1</v>
      </c>
      <c r="B5" s="1079"/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</row>
    <row r="6" spans="1:13">
      <c r="A6" s="2"/>
      <c r="C6" s="170"/>
      <c r="D6" s="2"/>
      <c r="E6" s="2"/>
      <c r="F6" s="2"/>
      <c r="G6" s="2"/>
      <c r="H6" s="2"/>
      <c r="I6" s="2"/>
      <c r="J6" s="2"/>
      <c r="K6" s="2"/>
      <c r="L6" s="2"/>
      <c r="M6" s="159" t="s">
        <v>2</v>
      </c>
    </row>
    <row r="7" spans="1:13">
      <c r="A7" s="7"/>
      <c r="B7" s="5" t="s">
        <v>3</v>
      </c>
      <c r="C7" s="1081" t="s">
        <v>118</v>
      </c>
      <c r="D7" s="1081"/>
      <c r="E7" s="1081"/>
      <c r="F7" s="1081"/>
      <c r="G7" s="1081"/>
      <c r="H7" s="1081"/>
      <c r="I7" s="1081"/>
      <c r="J7" s="7"/>
      <c r="K7" s="7"/>
      <c r="L7" s="5" t="s">
        <v>5</v>
      </c>
      <c r="M7" s="131">
        <v>19236531.640000001</v>
      </c>
    </row>
    <row r="8" spans="1:13">
      <c r="A8" s="7"/>
      <c r="B8" s="5" t="s">
        <v>7</v>
      </c>
      <c r="C8" s="9">
        <v>3</v>
      </c>
      <c r="D8" s="7"/>
      <c r="E8" s="10"/>
      <c r="F8" s="10"/>
      <c r="G8" s="10"/>
      <c r="H8" s="171"/>
      <c r="I8" s="7"/>
      <c r="J8" s="7"/>
      <c r="K8" s="7"/>
      <c r="L8" s="5" t="s">
        <v>8</v>
      </c>
      <c r="M8" s="131">
        <f>M7*0.2</f>
        <v>3847306.3280000002</v>
      </c>
    </row>
    <row r="9" spans="1:13">
      <c r="A9" s="7"/>
      <c r="B9" s="5" t="s">
        <v>9</v>
      </c>
      <c r="C9" s="172" t="s">
        <v>731</v>
      </c>
      <c r="D9" s="10"/>
      <c r="E9" s="10"/>
      <c r="F9" s="10"/>
      <c r="G9" s="11"/>
      <c r="H9" s="173"/>
      <c r="I9" s="7"/>
      <c r="J9" s="7"/>
      <c r="K9" s="7"/>
      <c r="L9" s="5" t="s">
        <v>12</v>
      </c>
      <c r="M9" s="132" t="s">
        <v>120</v>
      </c>
    </row>
    <row r="10" spans="1:13">
      <c r="A10" s="7"/>
      <c r="B10" s="5" t="s">
        <v>14</v>
      </c>
      <c r="C10" s="9" t="s">
        <v>121</v>
      </c>
      <c r="D10" s="10"/>
      <c r="E10" s="10"/>
      <c r="F10" s="10"/>
      <c r="H10" s="7"/>
      <c r="I10" s="7"/>
      <c r="J10" s="7"/>
      <c r="K10" s="7"/>
      <c r="L10" s="7"/>
      <c r="M10" s="7"/>
    </row>
    <row r="11" spans="1:13">
      <c r="A11" s="1082" t="s">
        <v>16</v>
      </c>
      <c r="B11" s="1082"/>
      <c r="C11" s="1082"/>
      <c r="D11" s="1082"/>
      <c r="E11" s="1082"/>
      <c r="F11" s="1082"/>
      <c r="G11" s="1083" t="s">
        <v>17</v>
      </c>
      <c r="H11" s="1083"/>
      <c r="I11" s="1083"/>
      <c r="J11" s="1083"/>
      <c r="K11" s="1084" t="s">
        <v>18</v>
      </c>
      <c r="L11" s="1084"/>
      <c r="M11" s="1084"/>
    </row>
    <row r="12" spans="1:13">
      <c r="A12" s="14" t="s">
        <v>19</v>
      </c>
      <c r="B12" s="15" t="s">
        <v>20</v>
      </c>
      <c r="C12" s="15" t="s">
        <v>21</v>
      </c>
      <c r="D12" s="15" t="s">
        <v>22</v>
      </c>
      <c r="E12" s="16" t="s">
        <v>23</v>
      </c>
      <c r="F12" s="16" t="s">
        <v>24</v>
      </c>
      <c r="G12" s="17" t="s">
        <v>25</v>
      </c>
      <c r="H12" s="17" t="s">
        <v>26</v>
      </c>
      <c r="I12" s="18" t="s">
        <v>27</v>
      </c>
      <c r="J12" s="19" t="s">
        <v>28</v>
      </c>
      <c r="K12" s="20" t="s">
        <v>25</v>
      </c>
      <c r="L12" s="21" t="s">
        <v>26</v>
      </c>
      <c r="M12" s="21" t="s">
        <v>27</v>
      </c>
    </row>
    <row r="13" spans="1:13">
      <c r="A13" s="14" t="s">
        <v>29</v>
      </c>
      <c r="B13" s="15" t="s">
        <v>122</v>
      </c>
      <c r="C13" s="174"/>
      <c r="D13" s="15"/>
      <c r="E13" s="16"/>
      <c r="F13" s="16"/>
      <c r="G13" s="17"/>
      <c r="H13" s="17"/>
      <c r="I13" s="18"/>
      <c r="J13" s="19"/>
      <c r="K13" s="20"/>
      <c r="L13" s="21"/>
      <c r="M13" s="21"/>
    </row>
    <row r="14" spans="1:13">
      <c r="A14" s="175">
        <v>1</v>
      </c>
      <c r="B14" s="23" t="s">
        <v>123</v>
      </c>
      <c r="C14" s="89"/>
      <c r="D14" s="77"/>
      <c r="E14" s="37"/>
      <c r="F14" s="37"/>
      <c r="G14" s="176"/>
      <c r="H14" s="27"/>
      <c r="I14" s="28"/>
      <c r="J14" s="29"/>
      <c r="K14" s="30"/>
      <c r="L14" s="31"/>
      <c r="M14" s="31"/>
    </row>
    <row r="15" spans="1:13">
      <c r="A15" s="177">
        <v>1.01</v>
      </c>
      <c r="B15" s="24" t="s">
        <v>124</v>
      </c>
      <c r="C15" s="89" t="s">
        <v>38</v>
      </c>
      <c r="D15" s="37">
        <v>1500</v>
      </c>
      <c r="E15" s="37">
        <f>+F15/D15</f>
        <v>143.48952</v>
      </c>
      <c r="F15" s="178">
        <v>215234.28</v>
      </c>
      <c r="G15" s="176"/>
      <c r="H15" s="27"/>
      <c r="I15" s="38"/>
      <c r="J15" s="39"/>
      <c r="K15" s="44"/>
      <c r="L15" s="63"/>
      <c r="M15" s="31"/>
    </row>
    <row r="16" spans="1:13">
      <c r="A16" s="177"/>
      <c r="B16" s="42" t="s">
        <v>39</v>
      </c>
      <c r="C16" s="89"/>
      <c r="D16" s="37"/>
      <c r="E16" s="37"/>
      <c r="F16" s="179">
        <f>F15</f>
        <v>215234.28</v>
      </c>
      <c r="G16" s="176"/>
      <c r="H16" s="27"/>
      <c r="I16" s="38"/>
      <c r="J16" s="39"/>
      <c r="K16" s="44"/>
      <c r="L16" s="41"/>
      <c r="M16" s="31"/>
    </row>
    <row r="17" spans="1:13">
      <c r="A17" s="180">
        <v>2</v>
      </c>
      <c r="B17" s="59" t="s">
        <v>40</v>
      </c>
      <c r="C17" s="89"/>
      <c r="D17" s="37"/>
      <c r="E17" s="37"/>
      <c r="F17" s="37"/>
      <c r="G17" s="176"/>
      <c r="H17" s="27"/>
      <c r="I17" s="38"/>
      <c r="J17" s="39"/>
      <c r="K17" s="44"/>
      <c r="L17" s="41"/>
      <c r="M17" s="31"/>
    </row>
    <row r="18" spans="1:13">
      <c r="A18" s="177">
        <v>2.0099999999999998</v>
      </c>
      <c r="B18" s="965" t="s">
        <v>125</v>
      </c>
      <c r="C18" s="89" t="s">
        <v>38</v>
      </c>
      <c r="D18" s="37">
        <v>1575</v>
      </c>
      <c r="E18" s="37">
        <f>+F18/D18</f>
        <v>5012.3466412698408</v>
      </c>
      <c r="F18" s="181">
        <v>7894445.96</v>
      </c>
      <c r="G18" s="176"/>
      <c r="H18" s="27"/>
      <c r="I18" s="38"/>
      <c r="J18" s="39"/>
      <c r="K18" s="47"/>
      <c r="L18" s="63"/>
      <c r="M18" s="64"/>
    </row>
    <row r="19" spans="1:13">
      <c r="A19" s="177"/>
      <c r="B19" s="42" t="s">
        <v>39</v>
      </c>
      <c r="C19" s="89"/>
      <c r="D19" s="37"/>
      <c r="E19" s="37"/>
      <c r="F19" s="179">
        <f>F18</f>
        <v>7894445.96</v>
      </c>
      <c r="G19" s="176"/>
      <c r="H19" s="27"/>
      <c r="I19" s="38"/>
      <c r="J19" s="39"/>
      <c r="K19" s="44"/>
      <c r="L19" s="41"/>
      <c r="M19" s="31"/>
    </row>
    <row r="20" spans="1:13">
      <c r="A20" s="177">
        <v>3</v>
      </c>
      <c r="B20" s="33" t="s">
        <v>43</v>
      </c>
      <c r="C20" s="89"/>
      <c r="D20" s="37"/>
      <c r="E20" s="37"/>
      <c r="F20" s="37"/>
      <c r="G20" s="176"/>
      <c r="H20" s="27"/>
      <c r="I20" s="38"/>
      <c r="J20" s="39"/>
      <c r="K20" s="44"/>
      <c r="L20" s="41"/>
      <c r="M20" s="31"/>
    </row>
    <row r="21" spans="1:13">
      <c r="A21" s="177">
        <v>3.01</v>
      </c>
      <c r="B21" s="33" t="s">
        <v>44</v>
      </c>
      <c r="C21" s="89" t="s">
        <v>45</v>
      </c>
      <c r="D21" s="37">
        <v>1657.5</v>
      </c>
      <c r="E21" s="37">
        <f t="shared" ref="E21:E24" si="0">+F21/D21</f>
        <v>562.31070286576164</v>
      </c>
      <c r="F21" s="37">
        <v>932029.99</v>
      </c>
      <c r="G21" s="176"/>
      <c r="H21" s="27"/>
      <c r="I21" s="38"/>
      <c r="J21" s="39"/>
      <c r="K21" s="44"/>
      <c r="L21" s="41"/>
      <c r="M21" s="31"/>
    </row>
    <row r="22" spans="1:13">
      <c r="A22" s="177">
        <v>3.02</v>
      </c>
      <c r="B22" s="33" t="s">
        <v>46</v>
      </c>
      <c r="C22" s="89" t="s">
        <v>45</v>
      </c>
      <c r="D22" s="37">
        <v>127.5</v>
      </c>
      <c r="E22" s="37">
        <f t="shared" si="0"/>
        <v>2715.8214117647058</v>
      </c>
      <c r="F22" s="37">
        <v>346267.23</v>
      </c>
      <c r="G22" s="176"/>
      <c r="H22" s="27"/>
      <c r="I22" s="38"/>
      <c r="J22" s="39"/>
      <c r="K22" s="44"/>
      <c r="L22" s="41"/>
      <c r="M22" s="31"/>
    </row>
    <row r="23" spans="1:13">
      <c r="A23" s="177">
        <v>3.03</v>
      </c>
      <c r="B23" s="33" t="s">
        <v>126</v>
      </c>
      <c r="C23" s="89" t="s">
        <v>45</v>
      </c>
      <c r="D23" s="37">
        <v>265.2</v>
      </c>
      <c r="E23" s="37">
        <f t="shared" si="0"/>
        <v>504.28497360482658</v>
      </c>
      <c r="F23" s="37">
        <v>133736.375</v>
      </c>
      <c r="G23" s="176"/>
      <c r="H23" s="27"/>
      <c r="I23" s="38"/>
      <c r="J23" s="39"/>
      <c r="K23" s="44"/>
      <c r="L23" s="41"/>
      <c r="M23" s="31"/>
    </row>
    <row r="24" spans="1:13">
      <c r="A24" s="177">
        <v>3.04</v>
      </c>
      <c r="B24" s="33" t="s">
        <v>48</v>
      </c>
      <c r="C24" s="89" t="s">
        <v>45</v>
      </c>
      <c r="D24" s="37">
        <v>1453.5</v>
      </c>
      <c r="E24" s="37">
        <f t="shared" si="0"/>
        <v>719.98435844513244</v>
      </c>
      <c r="F24" s="37">
        <v>1046497.265</v>
      </c>
      <c r="G24" s="176"/>
      <c r="H24" s="27"/>
      <c r="I24" s="38"/>
      <c r="J24" s="39"/>
      <c r="K24" s="44"/>
      <c r="L24" s="41"/>
      <c r="M24" s="31"/>
    </row>
    <row r="25" spans="1:13">
      <c r="A25" s="175"/>
      <c r="B25" s="182" t="s">
        <v>66</v>
      </c>
      <c r="C25" s="89"/>
      <c r="D25" s="37"/>
      <c r="E25" s="37"/>
      <c r="F25" s="179">
        <f>SUM(F21:F24)</f>
        <v>2458530.86</v>
      </c>
      <c r="G25" s="176"/>
      <c r="H25" s="27"/>
      <c r="I25" s="38"/>
      <c r="J25" s="39"/>
      <c r="K25" s="47"/>
      <c r="L25" s="63"/>
      <c r="M25" s="64"/>
    </row>
    <row r="26" spans="1:13">
      <c r="A26" s="183">
        <v>4</v>
      </c>
      <c r="B26" s="42" t="s">
        <v>127</v>
      </c>
      <c r="C26" s="184"/>
      <c r="D26" s="37"/>
      <c r="E26" s="37"/>
      <c r="F26" s="37"/>
      <c r="G26" s="176"/>
      <c r="H26" s="27"/>
      <c r="I26" s="38"/>
      <c r="J26" s="39"/>
      <c r="K26" s="44"/>
      <c r="L26" s="41"/>
      <c r="M26" s="31"/>
    </row>
    <row r="27" spans="1:13">
      <c r="A27" s="177">
        <v>4.01</v>
      </c>
      <c r="B27" s="58" t="s">
        <v>128</v>
      </c>
      <c r="C27" s="89" t="s">
        <v>52</v>
      </c>
      <c r="D27" s="37">
        <v>14</v>
      </c>
      <c r="E27" s="37">
        <f t="shared" ref="E27" si="1">+F27/D27</f>
        <v>5322.329285714286</v>
      </c>
      <c r="F27" s="110">
        <v>74512.61</v>
      </c>
      <c r="G27" s="176"/>
      <c r="H27" s="27"/>
      <c r="I27" s="38"/>
      <c r="J27" s="39"/>
      <c r="K27" s="44"/>
      <c r="L27" s="41"/>
      <c r="M27" s="31"/>
    </row>
    <row r="28" spans="1:13">
      <c r="A28" s="177"/>
      <c r="B28" s="42" t="s">
        <v>66</v>
      </c>
      <c r="C28" s="82"/>
      <c r="D28" s="43"/>
      <c r="E28" s="185"/>
      <c r="F28" s="179">
        <f>F27</f>
        <v>74512.61</v>
      </c>
      <c r="G28" s="176"/>
      <c r="H28" s="27"/>
      <c r="I28" s="38"/>
      <c r="J28" s="39"/>
      <c r="K28" s="47"/>
      <c r="L28" s="63"/>
      <c r="M28" s="64"/>
    </row>
    <row r="29" spans="1:13">
      <c r="A29" s="180" t="s">
        <v>34</v>
      </c>
      <c r="B29" s="42" t="s">
        <v>129</v>
      </c>
      <c r="C29" s="89"/>
      <c r="D29" s="37"/>
      <c r="E29" s="110"/>
      <c r="F29" s="110"/>
      <c r="G29" s="176"/>
      <c r="H29" s="27"/>
      <c r="I29" s="38"/>
      <c r="J29" s="39"/>
      <c r="K29" s="44"/>
      <c r="L29" s="41"/>
      <c r="M29" s="31"/>
    </row>
    <row r="30" spans="1:13">
      <c r="A30" s="177">
        <v>1</v>
      </c>
      <c r="B30" s="33" t="s">
        <v>123</v>
      </c>
      <c r="C30" s="89"/>
      <c r="D30" s="37"/>
      <c r="E30" s="110"/>
      <c r="F30" s="110"/>
      <c r="G30" s="176"/>
      <c r="H30" s="27"/>
      <c r="I30" s="38"/>
      <c r="J30" s="39"/>
      <c r="K30" s="44"/>
      <c r="L30" s="41"/>
      <c r="M30" s="31"/>
    </row>
    <row r="31" spans="1:13">
      <c r="A31" s="177">
        <v>1.01</v>
      </c>
      <c r="B31" s="33" t="s">
        <v>124</v>
      </c>
      <c r="C31" s="89" t="s">
        <v>38</v>
      </c>
      <c r="D31" s="37">
        <v>550</v>
      </c>
      <c r="E31" s="37">
        <f t="shared" ref="E31" si="2">+F31/D31</f>
        <v>143.12587272727271</v>
      </c>
      <c r="F31" s="110">
        <v>78719.23</v>
      </c>
      <c r="G31" s="176"/>
      <c r="H31" s="27"/>
      <c r="I31" s="38"/>
      <c r="J31" s="39"/>
      <c r="K31" s="44"/>
      <c r="L31" s="41"/>
      <c r="M31" s="31"/>
    </row>
    <row r="32" spans="1:13">
      <c r="A32" s="177"/>
      <c r="B32" s="59" t="s">
        <v>39</v>
      </c>
      <c r="C32" s="89"/>
      <c r="D32" s="37"/>
      <c r="E32" s="110"/>
      <c r="F32" s="179">
        <f>F31</f>
        <v>78719.23</v>
      </c>
      <c r="G32" s="176"/>
      <c r="H32" s="27"/>
      <c r="I32" s="38"/>
      <c r="J32" s="39"/>
      <c r="K32" s="44"/>
      <c r="L32" s="41"/>
      <c r="M32" s="31"/>
    </row>
    <row r="33" spans="1:13">
      <c r="A33" s="73">
        <v>2</v>
      </c>
      <c r="B33" s="58" t="s">
        <v>40</v>
      </c>
      <c r="C33" s="89"/>
      <c r="D33" s="78"/>
      <c r="E33" s="186"/>
      <c r="F33" s="110"/>
      <c r="G33" s="187"/>
      <c r="H33" s="38"/>
      <c r="I33" s="38"/>
      <c r="J33" s="39"/>
      <c r="K33" s="44"/>
      <c r="L33" s="41"/>
      <c r="M33" s="31"/>
    </row>
    <row r="34" spans="1:13">
      <c r="A34" s="73">
        <v>2.0099999999999998</v>
      </c>
      <c r="B34" s="58" t="s">
        <v>130</v>
      </c>
      <c r="C34" s="184" t="s">
        <v>38</v>
      </c>
      <c r="D34" s="37">
        <v>577.5</v>
      </c>
      <c r="E34" s="37">
        <f t="shared" ref="E34" si="3">+F34/D34</f>
        <v>2605.7667878787879</v>
      </c>
      <c r="F34" s="110">
        <v>1504830.32</v>
      </c>
      <c r="G34" s="187"/>
      <c r="H34" s="38"/>
      <c r="I34" s="38"/>
      <c r="J34" s="39"/>
      <c r="K34" s="44"/>
      <c r="L34" s="41"/>
      <c r="M34" s="31"/>
    </row>
    <row r="35" spans="1:13">
      <c r="A35" s="73"/>
      <c r="B35" s="59" t="s">
        <v>39</v>
      </c>
      <c r="C35" s="184"/>
      <c r="D35" s="37"/>
      <c r="E35" s="110"/>
      <c r="F35" s="179">
        <f>F34</f>
        <v>1504830.32</v>
      </c>
      <c r="G35" s="187"/>
      <c r="H35" s="38"/>
      <c r="I35" s="38"/>
      <c r="J35" s="39"/>
      <c r="K35" s="44"/>
      <c r="L35" s="41"/>
      <c r="M35" s="31"/>
    </row>
    <row r="36" spans="1:13">
      <c r="A36" s="84">
        <v>3</v>
      </c>
      <c r="B36" s="59" t="s">
        <v>43</v>
      </c>
      <c r="C36" s="184"/>
      <c r="D36" s="37"/>
      <c r="E36" s="110"/>
      <c r="F36" s="110"/>
      <c r="G36" s="187"/>
      <c r="H36" s="38"/>
      <c r="I36" s="38"/>
      <c r="J36" s="39"/>
      <c r="K36" s="44"/>
      <c r="L36" s="41"/>
      <c r="M36" s="31"/>
    </row>
    <row r="37" spans="1:13">
      <c r="A37" s="73">
        <v>3.01</v>
      </c>
      <c r="B37" s="37" t="s">
        <v>44</v>
      </c>
      <c r="C37" s="184" t="s">
        <v>45</v>
      </c>
      <c r="D37" s="37">
        <v>495</v>
      </c>
      <c r="E37" s="37">
        <f t="shared" ref="E37:E55" si="4">+F37/D37</f>
        <v>562.31070707070705</v>
      </c>
      <c r="F37" s="110">
        <v>278343.8</v>
      </c>
      <c r="G37" s="176"/>
      <c r="H37" s="27"/>
      <c r="I37" s="38"/>
      <c r="J37" s="39"/>
      <c r="K37" s="44"/>
      <c r="L37" s="41"/>
      <c r="M37" s="31"/>
    </row>
    <row r="38" spans="1:13">
      <c r="A38" s="73">
        <v>3.02</v>
      </c>
      <c r="B38" s="33" t="s">
        <v>46</v>
      </c>
      <c r="C38" s="89" t="s">
        <v>45</v>
      </c>
      <c r="D38" s="188">
        <v>43.31</v>
      </c>
      <c r="E38" s="37">
        <f t="shared" si="4"/>
        <v>2715.8212883860538</v>
      </c>
      <c r="F38" s="110">
        <v>117622.22</v>
      </c>
      <c r="G38" s="176"/>
      <c r="H38" s="27"/>
      <c r="I38" s="74"/>
      <c r="J38" s="75"/>
      <c r="K38" s="47"/>
      <c r="L38" s="63"/>
      <c r="M38" s="64"/>
    </row>
    <row r="39" spans="1:13">
      <c r="A39" s="73">
        <v>3.03</v>
      </c>
      <c r="B39" s="58" t="s">
        <v>126</v>
      </c>
      <c r="C39" s="89" t="s">
        <v>45</v>
      </c>
      <c r="D39" s="78">
        <v>85.67</v>
      </c>
      <c r="E39" s="37">
        <f t="shared" si="4"/>
        <v>504.2850472744251</v>
      </c>
      <c r="F39" s="110">
        <v>43202.1</v>
      </c>
      <c r="G39" s="176"/>
      <c r="H39" s="27"/>
      <c r="I39" s="74"/>
      <c r="J39" s="75"/>
      <c r="K39" s="44"/>
      <c r="L39" s="41"/>
      <c r="M39" s="31"/>
    </row>
    <row r="40" spans="1:13">
      <c r="A40" s="73">
        <v>3.04</v>
      </c>
      <c r="B40" s="58" t="s">
        <v>48</v>
      </c>
      <c r="C40" s="89" t="s">
        <v>45</v>
      </c>
      <c r="D40" s="78">
        <v>429.1</v>
      </c>
      <c r="E40" s="37">
        <f t="shared" si="4"/>
        <v>719.98436261943596</v>
      </c>
      <c r="F40" s="110">
        <v>308945.28999999998</v>
      </c>
      <c r="G40" s="176"/>
      <c r="H40" s="27"/>
      <c r="I40" s="38"/>
      <c r="J40" s="39"/>
      <c r="K40" s="44"/>
      <c r="L40" s="41"/>
      <c r="M40" s="31"/>
    </row>
    <row r="41" spans="1:13">
      <c r="A41" s="73"/>
      <c r="B41" s="59" t="s">
        <v>39</v>
      </c>
      <c r="C41" s="82"/>
      <c r="D41" s="81"/>
      <c r="E41" s="37"/>
      <c r="F41" s="179">
        <f>SUM(F37:F40)</f>
        <v>748113.40999999992</v>
      </c>
      <c r="G41" s="176"/>
      <c r="H41" s="27"/>
      <c r="I41" s="27"/>
      <c r="J41" s="27"/>
      <c r="K41" s="44"/>
      <c r="L41" s="41"/>
      <c r="M41" s="31"/>
    </row>
    <row r="42" spans="1:13">
      <c r="A42" s="84">
        <v>4</v>
      </c>
      <c r="B42" s="59" t="s">
        <v>131</v>
      </c>
      <c r="C42" s="184"/>
      <c r="D42" s="37"/>
      <c r="E42" s="37"/>
      <c r="F42" s="110"/>
      <c r="G42" s="187"/>
      <c r="H42" s="38"/>
      <c r="I42" s="38"/>
      <c r="J42" s="39"/>
      <c r="K42" s="44"/>
      <c r="L42" s="41"/>
      <c r="M42" s="31"/>
    </row>
    <row r="43" spans="1:13" ht="24.75">
      <c r="A43" s="73">
        <v>4.01</v>
      </c>
      <c r="B43" s="58" t="s">
        <v>132</v>
      </c>
      <c r="C43" s="184" t="s">
        <v>52</v>
      </c>
      <c r="D43" s="37">
        <v>8</v>
      </c>
      <c r="E43" s="37">
        <f t="shared" si="4"/>
        <v>4768.1724999999997</v>
      </c>
      <c r="F43" s="110">
        <v>38145.379999999997</v>
      </c>
      <c r="G43" s="187"/>
      <c r="H43" s="38"/>
      <c r="I43" s="38"/>
      <c r="J43" s="39"/>
      <c r="K43" s="44"/>
      <c r="L43" s="41"/>
      <c r="M43" s="31"/>
    </row>
    <row r="44" spans="1:13">
      <c r="A44" s="73"/>
      <c r="B44" s="59" t="s">
        <v>39</v>
      </c>
      <c r="C44" s="184"/>
      <c r="D44" s="37"/>
      <c r="E44" s="37"/>
      <c r="F44" s="179">
        <f>F43</f>
        <v>38145.379999999997</v>
      </c>
      <c r="G44" s="176"/>
      <c r="H44" s="27"/>
      <c r="I44" s="38"/>
      <c r="J44" s="39"/>
      <c r="K44" s="44"/>
      <c r="L44" s="41"/>
      <c r="M44" s="31"/>
    </row>
    <row r="45" spans="1:13" ht="24.75">
      <c r="A45" s="183" t="s">
        <v>57</v>
      </c>
      <c r="B45" s="59" t="s">
        <v>133</v>
      </c>
      <c r="C45" s="184"/>
      <c r="D45" s="37"/>
      <c r="E45" s="37"/>
      <c r="F45" s="110"/>
      <c r="G45" s="189"/>
      <c r="H45" s="190"/>
      <c r="I45" s="38"/>
      <c r="J45" s="39"/>
      <c r="K45" s="44"/>
      <c r="L45" s="41"/>
      <c r="M45" s="31"/>
    </row>
    <row r="46" spans="1:13" ht="24.75">
      <c r="A46" s="73">
        <v>1</v>
      </c>
      <c r="B46" s="58" t="s">
        <v>134</v>
      </c>
      <c r="C46" s="184" t="s">
        <v>52</v>
      </c>
      <c r="D46" s="37">
        <v>8</v>
      </c>
      <c r="E46" s="37">
        <f t="shared" si="4"/>
        <v>2805</v>
      </c>
      <c r="F46" s="110">
        <v>22440</v>
      </c>
      <c r="G46" s="187"/>
      <c r="H46" s="38"/>
      <c r="I46" s="38"/>
      <c r="J46" s="39"/>
      <c r="K46" s="44"/>
      <c r="L46" s="41"/>
      <c r="M46" s="31"/>
    </row>
    <row r="47" spans="1:13" ht="24.75">
      <c r="A47" s="73">
        <v>2</v>
      </c>
      <c r="B47" s="58" t="s">
        <v>135</v>
      </c>
      <c r="C47" s="184" t="s">
        <v>52</v>
      </c>
      <c r="D47" s="37">
        <v>2</v>
      </c>
      <c r="E47" s="37">
        <f t="shared" si="4"/>
        <v>4590</v>
      </c>
      <c r="F47" s="110">
        <v>9180</v>
      </c>
      <c r="G47" s="187"/>
      <c r="H47" s="38"/>
      <c r="I47" s="38"/>
      <c r="J47" s="39"/>
      <c r="K47" s="44"/>
      <c r="L47" s="41"/>
      <c r="M47" s="31"/>
    </row>
    <row r="48" spans="1:13" ht="24.75">
      <c r="A48" s="73">
        <v>3</v>
      </c>
      <c r="B48" s="58" t="s">
        <v>136</v>
      </c>
      <c r="C48" s="184" t="s">
        <v>52</v>
      </c>
      <c r="D48" s="37">
        <v>14</v>
      </c>
      <c r="E48" s="37">
        <f t="shared" si="4"/>
        <v>3315</v>
      </c>
      <c r="F48" s="110">
        <v>46410</v>
      </c>
      <c r="G48" s="187"/>
      <c r="H48" s="38"/>
      <c r="I48" s="38"/>
      <c r="J48" s="39"/>
      <c r="K48" s="44"/>
      <c r="L48" s="41"/>
      <c r="M48" s="31"/>
    </row>
    <row r="49" spans="1:13" ht="24.75">
      <c r="A49" s="73">
        <v>4</v>
      </c>
      <c r="B49" s="58" t="s">
        <v>137</v>
      </c>
      <c r="C49" s="184" t="s">
        <v>52</v>
      </c>
      <c r="D49" s="37">
        <v>6</v>
      </c>
      <c r="E49" s="37">
        <f t="shared" si="4"/>
        <v>5610</v>
      </c>
      <c r="F49" s="110">
        <v>33660</v>
      </c>
      <c r="G49" s="187"/>
      <c r="H49" s="38"/>
      <c r="I49" s="38"/>
      <c r="J49" s="39"/>
      <c r="K49" s="44"/>
      <c r="L49" s="41"/>
      <c r="M49" s="31"/>
    </row>
    <row r="50" spans="1:13" ht="24.75">
      <c r="A50" s="73">
        <v>5</v>
      </c>
      <c r="B50" s="58" t="s">
        <v>138</v>
      </c>
      <c r="C50" s="184" t="s">
        <v>52</v>
      </c>
      <c r="D50" s="37">
        <v>4</v>
      </c>
      <c r="E50" s="37">
        <f t="shared" si="4"/>
        <v>13005</v>
      </c>
      <c r="F50" s="110">
        <v>52020</v>
      </c>
      <c r="G50" s="187"/>
      <c r="H50" s="38"/>
      <c r="I50" s="38"/>
      <c r="J50" s="39"/>
      <c r="K50" s="44"/>
      <c r="L50" s="41"/>
      <c r="M50" s="31"/>
    </row>
    <row r="51" spans="1:13">
      <c r="A51" s="73">
        <v>6</v>
      </c>
      <c r="B51" s="58" t="s">
        <v>139</v>
      </c>
      <c r="C51" s="184" t="s">
        <v>52</v>
      </c>
      <c r="D51" s="37">
        <v>20</v>
      </c>
      <c r="E51" s="37">
        <f t="shared" si="4"/>
        <v>9945</v>
      </c>
      <c r="F51" s="110">
        <v>198900</v>
      </c>
      <c r="G51" s="187"/>
      <c r="H51" s="38"/>
      <c r="I51" s="38"/>
      <c r="J51" s="39"/>
      <c r="K51" s="44"/>
      <c r="L51" s="41"/>
      <c r="M51" s="31"/>
    </row>
    <row r="52" spans="1:13">
      <c r="A52" s="73">
        <v>7</v>
      </c>
      <c r="B52" s="58" t="s">
        <v>140</v>
      </c>
      <c r="C52" s="184" t="s">
        <v>52</v>
      </c>
      <c r="D52" s="37">
        <v>40</v>
      </c>
      <c r="E52" s="37">
        <f t="shared" si="4"/>
        <v>16065</v>
      </c>
      <c r="F52" s="110">
        <v>642600</v>
      </c>
      <c r="G52" s="187"/>
      <c r="H52" s="38"/>
      <c r="I52" s="38"/>
      <c r="J52" s="39"/>
      <c r="K52" s="44"/>
      <c r="L52" s="41"/>
      <c r="M52" s="31"/>
    </row>
    <row r="53" spans="1:13">
      <c r="A53" s="188"/>
      <c r="B53" s="191" t="s">
        <v>39</v>
      </c>
      <c r="C53" s="184"/>
      <c r="D53" s="37"/>
      <c r="E53" s="37"/>
      <c r="F53" s="179">
        <f>SUM(F46:F52)</f>
        <v>1005210</v>
      </c>
      <c r="G53" s="187"/>
      <c r="H53" s="38"/>
      <c r="I53" s="38"/>
      <c r="J53" s="39"/>
      <c r="K53" s="44"/>
      <c r="L53" s="41"/>
      <c r="M53" s="31"/>
    </row>
    <row r="54" spans="1:13">
      <c r="A54" s="84" t="s">
        <v>67</v>
      </c>
      <c r="B54" s="59" t="s">
        <v>58</v>
      </c>
      <c r="C54" s="184"/>
      <c r="D54" s="37"/>
      <c r="E54" s="37"/>
      <c r="F54" s="110"/>
      <c r="G54" s="187"/>
      <c r="H54" s="38"/>
      <c r="I54" s="38"/>
      <c r="J54" s="39"/>
      <c r="K54" s="44"/>
      <c r="L54" s="41"/>
      <c r="M54" s="31"/>
    </row>
    <row r="55" spans="1:13">
      <c r="A55" s="73">
        <v>1</v>
      </c>
      <c r="B55" s="965" t="s">
        <v>141</v>
      </c>
      <c r="C55" s="184" t="s">
        <v>52</v>
      </c>
      <c r="D55" s="37">
        <v>1</v>
      </c>
      <c r="E55" s="37">
        <f t="shared" si="4"/>
        <v>287575.99</v>
      </c>
      <c r="F55" s="110">
        <v>287575.99</v>
      </c>
      <c r="G55" s="187"/>
      <c r="H55" s="38"/>
      <c r="I55" s="38"/>
      <c r="J55" s="39"/>
      <c r="K55" s="44"/>
      <c r="L55" s="41"/>
      <c r="M55" s="31"/>
    </row>
    <row r="56" spans="1:13" ht="36.75">
      <c r="A56" s="73">
        <v>2</v>
      </c>
      <c r="B56" s="58" t="s">
        <v>142</v>
      </c>
      <c r="C56" s="184" t="s">
        <v>52</v>
      </c>
      <c r="D56" s="37">
        <v>1</v>
      </c>
      <c r="E56" s="110">
        <v>96293.81</v>
      </c>
      <c r="F56" s="110">
        <f t="shared" ref="F56:F58" si="5">D56*E56</f>
        <v>96293.81</v>
      </c>
      <c r="G56" s="187"/>
      <c r="H56" s="38"/>
      <c r="I56" s="38"/>
      <c r="J56" s="39"/>
      <c r="K56" s="44"/>
      <c r="L56" s="41"/>
      <c r="M56" s="31"/>
    </row>
    <row r="57" spans="1:13">
      <c r="A57" s="73">
        <v>3</v>
      </c>
      <c r="B57" s="965" t="s">
        <v>143</v>
      </c>
      <c r="C57" s="184" t="s">
        <v>52</v>
      </c>
      <c r="D57" s="37">
        <v>1</v>
      </c>
      <c r="E57" s="110">
        <v>76473.58</v>
      </c>
      <c r="F57" s="110">
        <f t="shared" si="5"/>
        <v>76473.58</v>
      </c>
      <c r="G57" s="187"/>
      <c r="H57" s="38"/>
      <c r="I57" s="38"/>
      <c r="J57" s="39"/>
      <c r="K57" s="44"/>
      <c r="L57" s="41"/>
      <c r="M57" s="31"/>
    </row>
    <row r="58" spans="1:13" ht="24.75">
      <c r="A58" s="73">
        <v>4</v>
      </c>
      <c r="B58" s="58" t="s">
        <v>144</v>
      </c>
      <c r="C58" s="184" t="s">
        <v>52</v>
      </c>
      <c r="D58" s="37">
        <v>1</v>
      </c>
      <c r="E58" s="110">
        <v>30000</v>
      </c>
      <c r="F58" s="110">
        <f t="shared" si="5"/>
        <v>30000</v>
      </c>
      <c r="G58" s="187"/>
      <c r="H58" s="38"/>
      <c r="I58" s="38"/>
      <c r="J58" s="39"/>
      <c r="K58" s="44"/>
      <c r="L58" s="41"/>
      <c r="M58" s="31"/>
    </row>
    <row r="59" spans="1:13">
      <c r="A59" s="73">
        <v>5</v>
      </c>
      <c r="B59" s="965" t="s">
        <v>145</v>
      </c>
      <c r="C59" s="184" t="s">
        <v>52</v>
      </c>
      <c r="D59" s="37">
        <v>1</v>
      </c>
      <c r="E59" s="110">
        <v>10000</v>
      </c>
      <c r="F59" s="110">
        <f>D59*E59</f>
        <v>10000</v>
      </c>
      <c r="G59" s="187"/>
      <c r="H59" s="38"/>
      <c r="I59" s="38"/>
      <c r="J59" s="39"/>
      <c r="K59" s="44"/>
      <c r="L59" s="41"/>
      <c r="M59" s="31"/>
    </row>
    <row r="60" spans="1:13" ht="24.75">
      <c r="A60" s="73">
        <v>6</v>
      </c>
      <c r="B60" s="58" t="s">
        <v>64</v>
      </c>
      <c r="C60" s="184" t="s">
        <v>52</v>
      </c>
      <c r="D60" s="37">
        <v>1</v>
      </c>
      <c r="E60" s="110">
        <v>15000</v>
      </c>
      <c r="F60" s="110">
        <f>D60*E60</f>
        <v>15000</v>
      </c>
      <c r="G60" s="187"/>
      <c r="H60" s="38"/>
      <c r="I60" s="38"/>
      <c r="J60" s="39"/>
      <c r="K60" s="44"/>
      <c r="L60" s="41"/>
      <c r="M60" s="31"/>
    </row>
    <row r="61" spans="1:13">
      <c r="A61" s="73">
        <v>7</v>
      </c>
      <c r="B61" s="965" t="s">
        <v>146</v>
      </c>
      <c r="C61" s="184" t="s">
        <v>38</v>
      </c>
      <c r="D61" s="37">
        <v>16</v>
      </c>
      <c r="E61" s="110">
        <v>2750</v>
      </c>
      <c r="F61" s="110">
        <f>D61*E61</f>
        <v>44000</v>
      </c>
      <c r="G61" s="187"/>
      <c r="H61" s="38"/>
      <c r="I61" s="38"/>
      <c r="J61" s="39"/>
      <c r="K61" s="44"/>
      <c r="L61" s="41"/>
      <c r="M61" s="31"/>
    </row>
    <row r="62" spans="1:13">
      <c r="A62" s="73"/>
      <c r="B62" s="192" t="s">
        <v>66</v>
      </c>
      <c r="C62" s="184"/>
      <c r="D62" s="37"/>
      <c r="E62" s="193"/>
      <c r="F62" s="179">
        <f>SUM(F55:F61)+0.01</f>
        <v>559343.39</v>
      </c>
      <c r="G62" s="187"/>
      <c r="H62" s="38"/>
      <c r="I62" s="74"/>
      <c r="J62" s="75"/>
      <c r="K62" s="115"/>
      <c r="L62" s="115"/>
      <c r="M62" s="64"/>
    </row>
    <row r="63" spans="1:13">
      <c r="A63" s="84" t="s">
        <v>71</v>
      </c>
      <c r="B63" s="1051" t="s">
        <v>68</v>
      </c>
      <c r="C63" s="184"/>
      <c r="D63" s="37"/>
      <c r="E63" s="193"/>
      <c r="F63" s="37"/>
      <c r="G63" s="187"/>
      <c r="H63" s="38"/>
      <c r="I63" s="74"/>
      <c r="J63" s="75"/>
      <c r="K63" s="44"/>
      <c r="L63" s="88"/>
      <c r="M63" s="31"/>
    </row>
    <row r="64" spans="1:13" ht="24.75">
      <c r="A64" s="73">
        <v>1</v>
      </c>
      <c r="B64" s="58" t="s">
        <v>147</v>
      </c>
      <c r="C64" s="194" t="s">
        <v>52</v>
      </c>
      <c r="D64" s="195">
        <v>1</v>
      </c>
      <c r="E64" s="194">
        <v>493697.17</v>
      </c>
      <c r="F64" s="195">
        <f>D64*E64</f>
        <v>493697.17</v>
      </c>
      <c r="G64" s="196"/>
      <c r="H64" s="197"/>
      <c r="I64" s="197"/>
      <c r="J64" s="198"/>
      <c r="K64" s="199"/>
      <c r="L64" s="200"/>
      <c r="M64" s="201"/>
    </row>
    <row r="65" spans="1:13">
      <c r="A65" s="73">
        <v>2</v>
      </c>
      <c r="B65" s="965" t="s">
        <v>142</v>
      </c>
      <c r="C65" s="194" t="s">
        <v>52</v>
      </c>
      <c r="D65" s="195">
        <v>1</v>
      </c>
      <c r="E65" s="194">
        <v>96293.81</v>
      </c>
      <c r="F65" s="195">
        <f t="shared" ref="F65:F69" si="6">D65*E65</f>
        <v>96293.81</v>
      </c>
      <c r="G65" s="196"/>
      <c r="H65" s="197"/>
      <c r="I65" s="197"/>
      <c r="J65" s="198"/>
      <c r="K65" s="199"/>
      <c r="L65" s="200"/>
      <c r="M65" s="201"/>
    </row>
    <row r="66" spans="1:13" ht="24.75">
      <c r="A66" s="73">
        <v>3</v>
      </c>
      <c r="B66" s="58" t="s">
        <v>143</v>
      </c>
      <c r="C66" s="194" t="s">
        <v>52</v>
      </c>
      <c r="D66" s="195">
        <v>1</v>
      </c>
      <c r="E66" s="194">
        <v>76473.58</v>
      </c>
      <c r="F66" s="195">
        <f t="shared" si="6"/>
        <v>76473.58</v>
      </c>
      <c r="G66" s="196"/>
      <c r="H66" s="197"/>
      <c r="I66" s="197"/>
      <c r="J66" s="198"/>
      <c r="K66" s="199"/>
      <c r="L66" s="200"/>
      <c r="M66" s="201"/>
    </row>
    <row r="67" spans="1:13">
      <c r="A67" s="73">
        <v>4</v>
      </c>
      <c r="B67" s="965" t="s">
        <v>144</v>
      </c>
      <c r="C67" s="194" t="s">
        <v>52</v>
      </c>
      <c r="D67" s="195">
        <v>1</v>
      </c>
      <c r="E67" s="194">
        <v>30000</v>
      </c>
      <c r="F67" s="195">
        <f t="shared" si="6"/>
        <v>30000</v>
      </c>
      <c r="G67" s="196"/>
      <c r="H67" s="197"/>
      <c r="I67" s="197"/>
      <c r="J67" s="198"/>
      <c r="K67" s="199"/>
      <c r="L67" s="200"/>
      <c r="M67" s="201"/>
    </row>
    <row r="68" spans="1:13" ht="24.75">
      <c r="A68" s="73">
        <v>5</v>
      </c>
      <c r="B68" s="58" t="s">
        <v>145</v>
      </c>
      <c r="C68" s="194" t="s">
        <v>52</v>
      </c>
      <c r="D68" s="195">
        <v>1</v>
      </c>
      <c r="E68" s="194">
        <v>10000</v>
      </c>
      <c r="F68" s="195">
        <f t="shared" si="6"/>
        <v>10000</v>
      </c>
      <c r="G68" s="196"/>
      <c r="H68" s="197"/>
      <c r="I68" s="197"/>
      <c r="J68" s="198"/>
      <c r="K68" s="199"/>
      <c r="L68" s="200"/>
      <c r="M68" s="201"/>
    </row>
    <row r="69" spans="1:13">
      <c r="A69" s="73">
        <v>6</v>
      </c>
      <c r="B69" s="965" t="s">
        <v>64</v>
      </c>
      <c r="C69" s="194" t="s">
        <v>52</v>
      </c>
      <c r="D69" s="195">
        <v>1</v>
      </c>
      <c r="E69" s="194">
        <v>15000</v>
      </c>
      <c r="F69" s="195">
        <f t="shared" si="6"/>
        <v>15000</v>
      </c>
      <c r="G69" s="196"/>
      <c r="H69" s="197"/>
      <c r="I69" s="197"/>
      <c r="J69" s="198"/>
      <c r="K69" s="199"/>
      <c r="L69" s="200"/>
      <c r="M69" s="201"/>
    </row>
    <row r="70" spans="1:13" ht="24.75">
      <c r="A70" s="73">
        <v>7</v>
      </c>
      <c r="B70" s="58" t="s">
        <v>146</v>
      </c>
      <c r="C70" s="194" t="s">
        <v>38</v>
      </c>
      <c r="D70" s="195">
        <v>16</v>
      </c>
      <c r="E70" s="194">
        <v>3105.82375</v>
      </c>
      <c r="F70" s="195">
        <f>D70*E70</f>
        <v>49693.18</v>
      </c>
      <c r="G70" s="196"/>
      <c r="H70" s="197"/>
      <c r="I70" s="197"/>
      <c r="J70" s="198"/>
      <c r="K70" s="199"/>
      <c r="L70" s="200"/>
      <c r="M70" s="201"/>
    </row>
    <row r="71" spans="1:13">
      <c r="A71" s="73"/>
      <c r="B71" s="59" t="s">
        <v>39</v>
      </c>
      <c r="C71" s="202"/>
      <c r="D71" s="203"/>
      <c r="E71" s="202"/>
      <c r="F71" s="204">
        <f>SUM(F64:F70)</f>
        <v>771157.74</v>
      </c>
      <c r="G71" s="196"/>
      <c r="H71" s="197"/>
      <c r="I71" s="197"/>
      <c r="J71" s="198"/>
      <c r="K71" s="199"/>
      <c r="L71" s="200"/>
      <c r="M71" s="201"/>
    </row>
    <row r="72" spans="1:13">
      <c r="A72" s="84" t="s">
        <v>148</v>
      </c>
      <c r="B72" s="1051" t="s">
        <v>150</v>
      </c>
      <c r="C72" s="202"/>
      <c r="D72" s="203"/>
      <c r="E72" s="202"/>
      <c r="F72" s="203"/>
      <c r="G72" s="196"/>
      <c r="H72" s="197"/>
      <c r="I72" s="197"/>
      <c r="J72" s="198"/>
      <c r="K72" s="199"/>
      <c r="L72" s="200"/>
      <c r="M72" s="201"/>
    </row>
    <row r="73" spans="1:13">
      <c r="A73" s="73"/>
      <c r="B73" s="59" t="s">
        <v>150</v>
      </c>
      <c r="C73" s="202"/>
      <c r="D73" s="203"/>
      <c r="E73" s="202"/>
      <c r="F73" s="203"/>
      <c r="G73" s="196"/>
      <c r="H73" s="197"/>
      <c r="I73" s="197"/>
      <c r="J73" s="198"/>
      <c r="K73" s="199"/>
      <c r="L73" s="200"/>
      <c r="M73" s="201"/>
    </row>
    <row r="74" spans="1:13" ht="24.75">
      <c r="A74" s="73">
        <v>1</v>
      </c>
      <c r="B74" s="58" t="s">
        <v>151</v>
      </c>
      <c r="C74" s="194" t="s">
        <v>55</v>
      </c>
      <c r="D74" s="195">
        <v>1</v>
      </c>
      <c r="E74" s="194">
        <v>60000</v>
      </c>
      <c r="F74" s="195">
        <f>E74*D74</f>
        <v>60000</v>
      </c>
      <c r="G74" s="196"/>
      <c r="H74" s="197"/>
      <c r="I74" s="197"/>
      <c r="J74" s="198"/>
      <c r="K74" s="199"/>
      <c r="L74" s="200"/>
      <c r="M74" s="201"/>
    </row>
    <row r="75" spans="1:13">
      <c r="A75" s="73">
        <v>2</v>
      </c>
      <c r="B75" s="58" t="s">
        <v>152</v>
      </c>
      <c r="C75" s="194" t="s">
        <v>45</v>
      </c>
      <c r="D75" s="195">
        <v>26.4</v>
      </c>
      <c r="E75" s="194">
        <v>562.31061</v>
      </c>
      <c r="F75" s="195">
        <f t="shared" ref="F75:F78" si="7">E75*D75</f>
        <v>14845.000103999999</v>
      </c>
      <c r="G75" s="196"/>
      <c r="H75" s="197"/>
      <c r="I75" s="197"/>
      <c r="J75" s="198"/>
      <c r="K75" s="199"/>
      <c r="L75" s="200"/>
      <c r="M75" s="201"/>
    </row>
    <row r="76" spans="1:13">
      <c r="A76" s="73">
        <v>3</v>
      </c>
      <c r="B76" s="58" t="s">
        <v>153</v>
      </c>
      <c r="C76" s="194" t="s">
        <v>45</v>
      </c>
      <c r="D76" s="195">
        <v>3.4</v>
      </c>
      <c r="E76" s="194">
        <v>2715.82</v>
      </c>
      <c r="F76" s="195">
        <f t="shared" si="7"/>
        <v>9233.7880000000005</v>
      </c>
      <c r="G76" s="196"/>
      <c r="H76" s="197"/>
      <c r="I76" s="197"/>
      <c r="J76" s="198"/>
      <c r="K76" s="199"/>
      <c r="L76" s="200"/>
      <c r="M76" s="201"/>
    </row>
    <row r="77" spans="1:13">
      <c r="A77" s="73">
        <v>4</v>
      </c>
      <c r="B77" s="58" t="s">
        <v>126</v>
      </c>
      <c r="C77" s="194" t="s">
        <v>45</v>
      </c>
      <c r="D77" s="195">
        <v>4.42</v>
      </c>
      <c r="E77" s="194">
        <v>504.28507000000002</v>
      </c>
      <c r="F77" s="195">
        <f t="shared" si="7"/>
        <v>2228.9400094000002</v>
      </c>
      <c r="G77" s="196"/>
      <c r="H77" s="197"/>
      <c r="I77" s="197"/>
      <c r="J77" s="198"/>
      <c r="K77" s="199"/>
      <c r="L77" s="200"/>
      <c r="M77" s="201"/>
    </row>
    <row r="78" spans="1:13">
      <c r="A78" s="73">
        <v>5</v>
      </c>
      <c r="B78" s="58" t="s">
        <v>48</v>
      </c>
      <c r="C78" s="194" t="s">
        <v>45</v>
      </c>
      <c r="D78" s="195">
        <v>21.85</v>
      </c>
      <c r="E78" s="194">
        <v>719.98443999999995</v>
      </c>
      <c r="F78" s="195">
        <f t="shared" si="7"/>
        <v>15731.660013999999</v>
      </c>
      <c r="G78" s="196"/>
      <c r="H78" s="197"/>
      <c r="I78" s="197"/>
      <c r="J78" s="198"/>
      <c r="K78" s="199"/>
      <c r="L78" s="200"/>
      <c r="M78" s="201"/>
    </row>
    <row r="79" spans="1:13">
      <c r="A79" s="73"/>
      <c r="B79" s="59" t="s">
        <v>39</v>
      </c>
      <c r="C79" s="202"/>
      <c r="D79" s="203"/>
      <c r="E79" s="202"/>
      <c r="F79" s="204">
        <f>SUM(F74:F78)</f>
        <v>102039.3881274</v>
      </c>
      <c r="G79" s="196"/>
      <c r="H79" s="197"/>
      <c r="I79" s="197"/>
      <c r="J79" s="198"/>
      <c r="K79" s="199"/>
      <c r="L79" s="200"/>
      <c r="M79" s="201"/>
    </row>
    <row r="80" spans="1:13">
      <c r="A80" s="84" t="s">
        <v>154</v>
      </c>
      <c r="B80" s="59" t="s">
        <v>155</v>
      </c>
      <c r="C80" s="202"/>
      <c r="D80" s="203"/>
      <c r="E80" s="202"/>
      <c r="F80" s="203"/>
      <c r="G80" s="196"/>
      <c r="H80" s="197"/>
      <c r="I80" s="197"/>
      <c r="J80" s="198"/>
      <c r="K80" s="199"/>
      <c r="L80" s="200"/>
      <c r="M80" s="201"/>
    </row>
    <row r="81" spans="1:13">
      <c r="A81" s="73">
        <v>1</v>
      </c>
      <c r="B81" s="58" t="s">
        <v>156</v>
      </c>
      <c r="C81" s="194" t="s">
        <v>55</v>
      </c>
      <c r="D81" s="195">
        <v>1</v>
      </c>
      <c r="E81" s="194">
        <v>240000</v>
      </c>
      <c r="F81" s="195">
        <f>D81*E81</f>
        <v>240000</v>
      </c>
      <c r="G81" s="196"/>
      <c r="H81" s="197"/>
      <c r="I81" s="197"/>
      <c r="J81" s="198"/>
      <c r="K81" s="199"/>
      <c r="L81" s="200"/>
      <c r="M81" s="201"/>
    </row>
    <row r="82" spans="1:13">
      <c r="A82" s="73"/>
      <c r="B82" s="59" t="s">
        <v>66</v>
      </c>
      <c r="C82" s="202"/>
      <c r="D82" s="203"/>
      <c r="E82" s="202"/>
      <c r="F82" s="204">
        <f>F81</f>
        <v>240000</v>
      </c>
      <c r="G82" s="196"/>
      <c r="H82" s="197"/>
      <c r="I82" s="197"/>
      <c r="J82" s="198"/>
      <c r="K82" s="199"/>
      <c r="L82" s="200"/>
      <c r="M82" s="201"/>
    </row>
    <row r="83" spans="1:13">
      <c r="A83" s="205"/>
      <c r="B83" s="206" t="s">
        <v>73</v>
      </c>
      <c r="C83" s="207"/>
      <c r="D83" s="205"/>
      <c r="E83" s="205"/>
      <c r="F83" s="93">
        <f>+F79+F71+F62+F53+F44+F41+F35+F28+F25+F19+F16+F82+F32+0.01</f>
        <v>15690282.578127399</v>
      </c>
      <c r="G83" s="205"/>
      <c r="H83" s="7"/>
      <c r="I83" s="7"/>
      <c r="J83" s="7"/>
      <c r="K83" s="95"/>
      <c r="L83" s="95"/>
      <c r="M83" s="95"/>
    </row>
    <row r="84" spans="1:13">
      <c r="A84" s="205"/>
      <c r="B84" s="206"/>
      <c r="C84" s="207"/>
      <c r="D84" s="205"/>
      <c r="E84" s="205"/>
      <c r="F84" s="208"/>
      <c r="G84" s="205"/>
      <c r="H84" s="7"/>
      <c r="I84" s="7"/>
      <c r="J84" s="7"/>
      <c r="K84" s="95"/>
      <c r="L84" s="95"/>
      <c r="M84" s="95"/>
    </row>
    <row r="85" spans="1:13">
      <c r="A85" s="210"/>
      <c r="B85" s="211" t="s">
        <v>157</v>
      </c>
      <c r="C85" s="212"/>
      <c r="D85" s="210"/>
      <c r="E85" s="210"/>
      <c r="F85" s="210"/>
    </row>
    <row r="86" spans="1:13">
      <c r="A86" s="213" t="s">
        <v>158</v>
      </c>
      <c r="B86" s="112" t="s">
        <v>159</v>
      </c>
      <c r="C86" s="104"/>
      <c r="D86" s="111"/>
      <c r="E86" s="111"/>
      <c r="F86" s="111"/>
      <c r="G86" s="197"/>
      <c r="H86" s="197"/>
      <c r="I86" s="197"/>
      <c r="J86" s="198"/>
      <c r="K86" s="199"/>
      <c r="L86" s="200"/>
      <c r="M86" s="201"/>
    </row>
    <row r="87" spans="1:13">
      <c r="A87" s="66">
        <v>1.01</v>
      </c>
      <c r="B87" s="111" t="s">
        <v>160</v>
      </c>
      <c r="C87" s="214" t="s">
        <v>52</v>
      </c>
      <c r="D87" s="215">
        <v>2</v>
      </c>
      <c r="E87" s="215">
        <v>75000</v>
      </c>
      <c r="F87" s="215">
        <f>D87*E87</f>
        <v>150000</v>
      </c>
      <c r="G87" s="197">
        <f>D87</f>
        <v>2</v>
      </c>
      <c r="H87" s="197"/>
      <c r="I87" s="197">
        <f>+G87+H87</f>
        <v>2</v>
      </c>
      <c r="J87" s="216">
        <f>G87/D87</f>
        <v>1</v>
      </c>
      <c r="K87" s="200">
        <f>G87*E87</f>
        <v>150000</v>
      </c>
      <c r="L87" s="200"/>
      <c r="M87" s="201">
        <f>K87+L87</f>
        <v>150000</v>
      </c>
    </row>
    <row r="88" spans="1:13">
      <c r="A88" s="66">
        <f>A87+0.01</f>
        <v>1.02</v>
      </c>
      <c r="B88" s="111" t="s">
        <v>161</v>
      </c>
      <c r="C88" s="214" t="s">
        <v>52</v>
      </c>
      <c r="D88" s="215">
        <v>2</v>
      </c>
      <c r="E88" s="215">
        <v>15000</v>
      </c>
      <c r="F88" s="215">
        <f t="shared" ref="F88" si="8">D88*E88</f>
        <v>30000</v>
      </c>
      <c r="G88" s="197">
        <f>D88</f>
        <v>2</v>
      </c>
      <c r="H88" s="197"/>
      <c r="I88" s="197">
        <f t="shared" ref="I88:I89" si="9">+G88+H88</f>
        <v>2</v>
      </c>
      <c r="J88" s="216">
        <f>G88/D88</f>
        <v>1</v>
      </c>
      <c r="K88" s="200">
        <f t="shared" ref="K88:K89" si="10">G88*E88</f>
        <v>30000</v>
      </c>
      <c r="L88" s="200"/>
      <c r="M88" s="201">
        <f t="shared" ref="M88:M90" si="11">K88+L88</f>
        <v>30000</v>
      </c>
    </row>
    <row r="89" spans="1:13">
      <c r="A89" s="66">
        <f t="shared" ref="A89:A90" si="12">A88+0.01</f>
        <v>1.03</v>
      </c>
      <c r="B89" s="111" t="s">
        <v>162</v>
      </c>
      <c r="C89" s="214" t="s">
        <v>52</v>
      </c>
      <c r="D89" s="215">
        <v>2</v>
      </c>
      <c r="E89" s="215">
        <v>5000</v>
      </c>
      <c r="F89" s="215">
        <f>D89*E89</f>
        <v>10000</v>
      </c>
      <c r="G89" s="197">
        <f>D89</f>
        <v>2</v>
      </c>
      <c r="H89" s="197"/>
      <c r="I89" s="197">
        <f t="shared" si="9"/>
        <v>2</v>
      </c>
      <c r="J89" s="216">
        <f>G89/D89</f>
        <v>1</v>
      </c>
      <c r="K89" s="200">
        <f t="shared" si="10"/>
        <v>10000</v>
      </c>
      <c r="L89" s="200"/>
      <c r="M89" s="201">
        <f t="shared" si="11"/>
        <v>10000</v>
      </c>
    </row>
    <row r="90" spans="1:13">
      <c r="A90" s="66">
        <f t="shared" si="12"/>
        <v>1.04</v>
      </c>
      <c r="B90" s="59" t="s">
        <v>66</v>
      </c>
      <c r="C90" s="217"/>
      <c r="D90" s="215"/>
      <c r="E90" s="215"/>
      <c r="F90" s="218">
        <f>SUM(F87:F89)</f>
        <v>190000</v>
      </c>
      <c r="G90" s="197"/>
      <c r="H90" s="197"/>
      <c r="I90" s="197"/>
      <c r="J90" s="198"/>
      <c r="K90" s="219">
        <f>SUM(K87:K89)</f>
        <v>190000</v>
      </c>
      <c r="L90" s="219"/>
      <c r="M90" s="220">
        <f t="shared" si="11"/>
        <v>190000</v>
      </c>
    </row>
    <row r="91" spans="1:13">
      <c r="A91" s="221" t="s">
        <v>163</v>
      </c>
      <c r="B91" s="222" t="s">
        <v>164</v>
      </c>
      <c r="C91" s="223"/>
      <c r="D91" s="224"/>
      <c r="E91" s="224"/>
      <c r="F91" s="224"/>
      <c r="G91" s="197"/>
      <c r="H91" s="197"/>
      <c r="I91" s="197"/>
      <c r="J91" s="198"/>
      <c r="K91" s="199"/>
      <c r="L91" s="200"/>
      <c r="M91" s="201"/>
    </row>
    <row r="92" spans="1:13">
      <c r="A92" s="225">
        <v>1</v>
      </c>
      <c r="B92" s="222" t="s">
        <v>75</v>
      </c>
      <c r="C92" s="223"/>
      <c r="D92" s="224"/>
      <c r="E92" s="224"/>
      <c r="F92" s="224"/>
      <c r="G92" s="197"/>
      <c r="H92" s="197"/>
      <c r="I92" s="197"/>
      <c r="J92" s="198"/>
      <c r="K92" s="199"/>
      <c r="L92" s="200"/>
      <c r="M92" s="201"/>
    </row>
    <row r="93" spans="1:13">
      <c r="A93" s="226">
        <v>1.01</v>
      </c>
      <c r="B93" s="111" t="s">
        <v>165</v>
      </c>
      <c r="C93" s="227" t="s">
        <v>52</v>
      </c>
      <c r="D93" s="215">
        <v>3</v>
      </c>
      <c r="E93" s="228">
        <v>30000</v>
      </c>
      <c r="F93" s="228">
        <f t="shared" ref="F93:F96" si="13">D93*E93</f>
        <v>90000</v>
      </c>
      <c r="G93" s="197">
        <f>D93</f>
        <v>3</v>
      </c>
      <c r="H93" s="197"/>
      <c r="I93" s="197">
        <f t="shared" ref="I93:I96" si="14">+G93+H93</f>
        <v>3</v>
      </c>
      <c r="J93" s="216">
        <f>G93/D93</f>
        <v>1</v>
      </c>
      <c r="K93" s="200">
        <f>G93*E93</f>
        <v>90000</v>
      </c>
      <c r="L93" s="200"/>
      <c r="M93" s="201">
        <f t="shared" ref="M93:M97" si="15">K93+L93</f>
        <v>90000</v>
      </c>
    </row>
    <row r="94" spans="1:13">
      <c r="A94" s="66">
        <f>A93+0.01</f>
        <v>1.02</v>
      </c>
      <c r="B94" s="111" t="s">
        <v>37</v>
      </c>
      <c r="C94" s="227" t="s">
        <v>38</v>
      </c>
      <c r="D94" s="215">
        <v>786</v>
      </c>
      <c r="E94" s="228">
        <v>143.49</v>
      </c>
      <c r="F94" s="228">
        <f t="shared" si="13"/>
        <v>112783.14000000001</v>
      </c>
      <c r="G94" s="197">
        <f>D94</f>
        <v>786</v>
      </c>
      <c r="H94" s="197"/>
      <c r="I94" s="197">
        <f t="shared" si="14"/>
        <v>786</v>
      </c>
      <c r="J94" s="216">
        <f>G94/D94</f>
        <v>1</v>
      </c>
      <c r="K94" s="200">
        <f t="shared" ref="K94:K96" si="16">G94*E94</f>
        <v>112783.14000000001</v>
      </c>
      <c r="L94" s="200"/>
      <c r="M94" s="201">
        <f t="shared" si="15"/>
        <v>112783.14000000001</v>
      </c>
    </row>
    <row r="95" spans="1:13">
      <c r="A95" s="66">
        <f t="shared" ref="A95:A97" si="17">A94+0.01</f>
        <v>1.03</v>
      </c>
      <c r="B95" s="111" t="s">
        <v>166</v>
      </c>
      <c r="C95" s="227" t="s">
        <v>38</v>
      </c>
      <c r="D95" s="215">
        <v>1572</v>
      </c>
      <c r="E95" s="228">
        <v>85</v>
      </c>
      <c r="F95" s="228">
        <f t="shared" si="13"/>
        <v>133620</v>
      </c>
      <c r="G95" s="197">
        <v>850</v>
      </c>
      <c r="H95" s="197"/>
      <c r="I95" s="197">
        <f t="shared" si="14"/>
        <v>850</v>
      </c>
      <c r="J95" s="216">
        <f>G95/D95</f>
        <v>0.54071246819338425</v>
      </c>
      <c r="K95" s="200">
        <f t="shared" si="16"/>
        <v>72250</v>
      </c>
      <c r="L95" s="200"/>
      <c r="M95" s="201">
        <f t="shared" si="15"/>
        <v>72250</v>
      </c>
    </row>
    <row r="96" spans="1:13">
      <c r="A96" s="66">
        <f t="shared" si="17"/>
        <v>1.04</v>
      </c>
      <c r="B96" s="111" t="s">
        <v>167</v>
      </c>
      <c r="C96" s="104" t="s">
        <v>38</v>
      </c>
      <c r="D96" s="111">
        <v>786</v>
      </c>
      <c r="E96" s="229">
        <v>25</v>
      </c>
      <c r="F96" s="228">
        <f t="shared" si="13"/>
        <v>19650</v>
      </c>
      <c r="G96" s="197">
        <f>D96</f>
        <v>786</v>
      </c>
      <c r="H96" s="197"/>
      <c r="I96" s="197">
        <f t="shared" si="14"/>
        <v>786</v>
      </c>
      <c r="J96" s="216">
        <f>G96/D96</f>
        <v>1</v>
      </c>
      <c r="K96" s="200">
        <f t="shared" si="16"/>
        <v>19650</v>
      </c>
      <c r="L96" s="200"/>
      <c r="M96" s="201">
        <f t="shared" si="15"/>
        <v>19650</v>
      </c>
    </row>
    <row r="97" spans="1:13">
      <c r="A97" s="66">
        <f t="shared" si="17"/>
        <v>1.05</v>
      </c>
      <c r="B97" s="59" t="s">
        <v>66</v>
      </c>
      <c r="C97" s="104"/>
      <c r="D97" s="111"/>
      <c r="E97" s="111"/>
      <c r="F97" s="230">
        <f>SUM(F93:F96)</f>
        <v>356053.14</v>
      </c>
      <c r="G97" s="197"/>
      <c r="H97" s="197"/>
      <c r="I97" s="197"/>
      <c r="J97" s="198"/>
      <c r="K97" s="231">
        <f>SUM(K93:K96)</f>
        <v>294683.14</v>
      </c>
      <c r="L97" s="219"/>
      <c r="M97" s="220">
        <f t="shared" si="15"/>
        <v>294683.14</v>
      </c>
    </row>
    <row r="98" spans="1:13">
      <c r="A98" s="213" t="s">
        <v>168</v>
      </c>
      <c r="B98" s="112" t="s">
        <v>169</v>
      </c>
      <c r="C98" s="104"/>
      <c r="D98" s="111"/>
      <c r="E98" s="111"/>
      <c r="F98" s="111"/>
      <c r="G98" s="197"/>
      <c r="H98" s="197"/>
      <c r="I98" s="197"/>
      <c r="J98" s="198"/>
      <c r="K98" s="199"/>
      <c r="L98" s="200"/>
      <c r="M98" s="201"/>
    </row>
    <row r="99" spans="1:13">
      <c r="A99" s="66">
        <v>1.01</v>
      </c>
      <c r="B99" s="111" t="s">
        <v>732</v>
      </c>
      <c r="C99" s="104" t="s">
        <v>38</v>
      </c>
      <c r="D99" s="111">
        <v>815</v>
      </c>
      <c r="E99" s="111">
        <v>2022.65</v>
      </c>
      <c r="F99" s="228">
        <f t="shared" ref="F99" si="18">D99*E99</f>
        <v>1648459.75</v>
      </c>
      <c r="G99" s="197">
        <v>786</v>
      </c>
      <c r="H99" s="197"/>
      <c r="I99" s="197">
        <f t="shared" ref="I99" si="19">+G99+H99</f>
        <v>786</v>
      </c>
      <c r="J99" s="216">
        <f>G99/D99</f>
        <v>0.96441717791411041</v>
      </c>
      <c r="K99" s="200">
        <f t="shared" ref="K99:K106" si="20">G99*E99</f>
        <v>1589802.9000000001</v>
      </c>
      <c r="L99" s="200"/>
      <c r="M99" s="201">
        <f t="shared" ref="M99" si="21">K99+L99</f>
        <v>1589802.9000000001</v>
      </c>
    </row>
    <row r="100" spans="1:13">
      <c r="A100" s="66"/>
      <c r="B100" s="59" t="s">
        <v>66</v>
      </c>
      <c r="C100" s="104"/>
      <c r="D100" s="111"/>
      <c r="E100" s="111"/>
      <c r="F100" s="230">
        <f>SUM(F99)</f>
        <v>1648459.75</v>
      </c>
      <c r="G100" s="197"/>
      <c r="H100" s="197"/>
      <c r="I100" s="197"/>
      <c r="J100" s="198"/>
      <c r="K100" s="231">
        <f>SUM(K99)</f>
        <v>1589802.9000000001</v>
      </c>
      <c r="L100" s="219"/>
      <c r="M100" s="220">
        <f>SUM(M99)</f>
        <v>1589802.9000000001</v>
      </c>
    </row>
    <row r="101" spans="1:13">
      <c r="A101" s="213" t="s">
        <v>171</v>
      </c>
      <c r="B101" s="112" t="s">
        <v>172</v>
      </c>
      <c r="C101" s="104"/>
      <c r="D101" s="111"/>
      <c r="E101" s="111"/>
      <c r="F101" s="111"/>
      <c r="G101" s="197"/>
      <c r="H101" s="197"/>
      <c r="I101" s="197"/>
      <c r="J101" s="198"/>
      <c r="K101" s="199"/>
      <c r="L101" s="200"/>
      <c r="M101" s="201"/>
    </row>
    <row r="102" spans="1:13">
      <c r="A102" s="226">
        <v>1.01</v>
      </c>
      <c r="B102" s="111" t="s">
        <v>44</v>
      </c>
      <c r="C102" s="104" t="s">
        <v>45</v>
      </c>
      <c r="D102" s="229">
        <v>537.9</v>
      </c>
      <c r="E102" s="111">
        <v>562.30999999999995</v>
      </c>
      <c r="F102" s="228">
        <f t="shared" ref="F102:F106" si="22">D102*E102</f>
        <v>302466.54899999994</v>
      </c>
      <c r="G102" s="197">
        <f>D102</f>
        <v>537.9</v>
      </c>
      <c r="H102" s="197"/>
      <c r="I102" s="197">
        <f t="shared" ref="I102:I106" si="23">+G102+H102</f>
        <v>537.9</v>
      </c>
      <c r="J102" s="216">
        <f>G102/D102</f>
        <v>1</v>
      </c>
      <c r="K102" s="200">
        <f t="shared" si="20"/>
        <v>302466.54899999994</v>
      </c>
      <c r="L102" s="200"/>
      <c r="M102" s="201">
        <f t="shared" ref="M102:M148" si="24">K102+L102</f>
        <v>302466.54899999994</v>
      </c>
    </row>
    <row r="103" spans="1:13">
      <c r="A103" s="66">
        <f>A102+0.01</f>
        <v>1.02</v>
      </c>
      <c r="B103" s="111" t="s">
        <v>173</v>
      </c>
      <c r="C103" s="104" t="s">
        <v>45</v>
      </c>
      <c r="D103" s="229">
        <v>48.9</v>
      </c>
      <c r="E103" s="111">
        <v>2715.82</v>
      </c>
      <c r="F103" s="228">
        <f t="shared" si="22"/>
        <v>132803.598</v>
      </c>
      <c r="G103" s="197">
        <f>D103</f>
        <v>48.9</v>
      </c>
      <c r="H103" s="197"/>
      <c r="I103" s="197">
        <f t="shared" si="23"/>
        <v>48.9</v>
      </c>
      <c r="J103" s="216">
        <f>G103/D103</f>
        <v>1</v>
      </c>
      <c r="K103" s="200">
        <f t="shared" si="20"/>
        <v>132803.598</v>
      </c>
      <c r="L103" s="200"/>
      <c r="M103" s="201">
        <f t="shared" si="24"/>
        <v>132803.598</v>
      </c>
    </row>
    <row r="104" spans="1:13">
      <c r="A104" s="66">
        <f t="shared" ref="A104:A107" si="25">A103+0.01</f>
        <v>1.03</v>
      </c>
      <c r="B104" s="111" t="s">
        <v>126</v>
      </c>
      <c r="C104" s="104" t="s">
        <v>45</v>
      </c>
      <c r="D104" s="229">
        <v>134.47999999999999</v>
      </c>
      <c r="E104" s="111">
        <v>504.29</v>
      </c>
      <c r="F104" s="228">
        <f t="shared" si="22"/>
        <v>67816.919200000004</v>
      </c>
      <c r="G104" s="197">
        <f>D104</f>
        <v>134.47999999999999</v>
      </c>
      <c r="H104" s="197"/>
      <c r="I104" s="197">
        <f t="shared" si="23"/>
        <v>134.47999999999999</v>
      </c>
      <c r="J104" s="216">
        <f>G104/D104</f>
        <v>1</v>
      </c>
      <c r="K104" s="200">
        <f t="shared" si="20"/>
        <v>67816.919200000004</v>
      </c>
      <c r="L104" s="200"/>
      <c r="M104" s="201">
        <f t="shared" si="24"/>
        <v>67816.919200000004</v>
      </c>
    </row>
    <row r="105" spans="1:13">
      <c r="A105" s="66">
        <f t="shared" si="25"/>
        <v>1.04</v>
      </c>
      <c r="B105" s="111" t="s">
        <v>48</v>
      </c>
      <c r="C105" s="104" t="s">
        <v>45</v>
      </c>
      <c r="D105" s="229">
        <v>672.38</v>
      </c>
      <c r="E105" s="111">
        <v>719.98</v>
      </c>
      <c r="F105" s="228">
        <f t="shared" si="22"/>
        <v>484100.15240000002</v>
      </c>
      <c r="G105" s="197">
        <f>D105</f>
        <v>672.38</v>
      </c>
      <c r="H105" s="197"/>
      <c r="I105" s="197">
        <f t="shared" si="23"/>
        <v>672.38</v>
      </c>
      <c r="J105" s="216">
        <f>G105/D105</f>
        <v>1</v>
      </c>
      <c r="K105" s="200">
        <f t="shared" si="20"/>
        <v>484100.15240000002</v>
      </c>
      <c r="L105" s="200"/>
      <c r="M105" s="201">
        <f t="shared" si="24"/>
        <v>484100.15240000002</v>
      </c>
    </row>
    <row r="106" spans="1:13">
      <c r="A106" s="66">
        <f t="shared" si="25"/>
        <v>1.05</v>
      </c>
      <c r="B106" s="111" t="s">
        <v>174</v>
      </c>
      <c r="C106" s="104" t="s">
        <v>175</v>
      </c>
      <c r="D106" s="229">
        <v>64</v>
      </c>
      <c r="E106" s="111">
        <v>2400</v>
      </c>
      <c r="F106" s="228">
        <f t="shared" si="22"/>
        <v>153600</v>
      </c>
      <c r="G106" s="197">
        <f>D106</f>
        <v>64</v>
      </c>
      <c r="H106" s="197"/>
      <c r="I106" s="197">
        <f t="shared" si="23"/>
        <v>64</v>
      </c>
      <c r="J106" s="216">
        <f>G106/D106</f>
        <v>1</v>
      </c>
      <c r="K106" s="200">
        <f t="shared" si="20"/>
        <v>153600</v>
      </c>
      <c r="L106" s="200"/>
      <c r="M106" s="201">
        <f t="shared" si="24"/>
        <v>153600</v>
      </c>
    </row>
    <row r="107" spans="1:13">
      <c r="A107" s="66">
        <f t="shared" si="25"/>
        <v>1.06</v>
      </c>
      <c r="B107" s="59" t="s">
        <v>66</v>
      </c>
      <c r="C107" s="104"/>
      <c r="D107" s="111"/>
      <c r="E107" s="111"/>
      <c r="F107" s="230">
        <f>SUM(F102:F106)</f>
        <v>1140787.2186</v>
      </c>
      <c r="G107" s="197"/>
      <c r="H107" s="197"/>
      <c r="I107" s="197"/>
      <c r="J107" s="198"/>
      <c r="K107" s="231">
        <f>SUM(K102:K106)</f>
        <v>1140787.2186</v>
      </c>
      <c r="L107" s="219"/>
      <c r="M107" s="220">
        <f t="shared" si="24"/>
        <v>1140787.2186</v>
      </c>
    </row>
    <row r="108" spans="1:13">
      <c r="A108" s="213" t="s">
        <v>176</v>
      </c>
      <c r="B108" s="222" t="s">
        <v>177</v>
      </c>
      <c r="C108" s="223"/>
      <c r="D108" s="224"/>
      <c r="E108" s="224"/>
      <c r="F108" s="232"/>
      <c r="G108" s="197"/>
      <c r="H108" s="197"/>
      <c r="I108" s="197"/>
      <c r="J108" s="198"/>
      <c r="K108" s="199"/>
      <c r="L108" s="219"/>
      <c r="M108" s="220"/>
    </row>
    <row r="109" spans="1:13">
      <c r="A109" s="233">
        <v>1</v>
      </c>
      <c r="B109" s="222" t="s">
        <v>75</v>
      </c>
      <c r="C109" s="223"/>
      <c r="D109" s="224"/>
      <c r="E109" s="224"/>
      <c r="F109" s="232"/>
      <c r="G109" s="197"/>
      <c r="H109" s="197"/>
      <c r="I109" s="197"/>
      <c r="J109" s="198"/>
      <c r="K109" s="199"/>
      <c r="L109" s="219"/>
      <c r="M109" s="220"/>
    </row>
    <row r="110" spans="1:13">
      <c r="A110" s="66">
        <v>1.01</v>
      </c>
      <c r="B110" s="111" t="s">
        <v>37</v>
      </c>
      <c r="C110" s="227" t="s">
        <v>38</v>
      </c>
      <c r="D110" s="228">
        <v>2250</v>
      </c>
      <c r="E110" s="228">
        <v>143.49</v>
      </c>
      <c r="F110" s="234">
        <f t="shared" ref="F110:F112" si="26">D110*E110</f>
        <v>322852.5</v>
      </c>
      <c r="G110" s="197">
        <v>1800</v>
      </c>
      <c r="H110" s="197">
        <v>200</v>
      </c>
      <c r="I110" s="197">
        <f>+G110+H110</f>
        <v>2000</v>
      </c>
      <c r="J110" s="216">
        <f>I110/D110</f>
        <v>0.88888888888888884</v>
      </c>
      <c r="K110" s="200">
        <f t="shared" ref="K110:K112" si="27">G110*E110</f>
        <v>258282.00000000003</v>
      </c>
      <c r="L110" s="199">
        <f>H110*E110</f>
        <v>28698</v>
      </c>
      <c r="M110" s="201">
        <f t="shared" si="24"/>
        <v>286980</v>
      </c>
    </row>
    <row r="111" spans="1:13">
      <c r="A111" s="66">
        <v>1.02</v>
      </c>
      <c r="B111" s="111" t="s">
        <v>166</v>
      </c>
      <c r="C111" s="227" t="s">
        <v>38</v>
      </c>
      <c r="D111" s="228">
        <v>4500</v>
      </c>
      <c r="E111" s="228">
        <v>85</v>
      </c>
      <c r="F111" s="234">
        <f t="shared" si="26"/>
        <v>382500</v>
      </c>
      <c r="G111" s="197">
        <v>1800</v>
      </c>
      <c r="H111" s="197"/>
      <c r="I111" s="197">
        <f t="shared" ref="I111:I112" si="28">+G111+H111</f>
        <v>1800</v>
      </c>
      <c r="J111" s="216">
        <f>I111/D111</f>
        <v>0.4</v>
      </c>
      <c r="K111" s="200">
        <f t="shared" si="27"/>
        <v>153000</v>
      </c>
      <c r="L111" s="199">
        <f t="shared" ref="L111:L112" si="29">H111*E111</f>
        <v>0</v>
      </c>
      <c r="M111" s="201">
        <f t="shared" si="24"/>
        <v>153000</v>
      </c>
    </row>
    <row r="112" spans="1:13">
      <c r="A112" s="66">
        <v>1.03</v>
      </c>
      <c r="B112" s="111" t="s">
        <v>167</v>
      </c>
      <c r="C112" s="104" t="s">
        <v>38</v>
      </c>
      <c r="D112" s="229">
        <v>2250</v>
      </c>
      <c r="E112" s="229">
        <v>25</v>
      </c>
      <c r="F112" s="234">
        <f t="shared" si="26"/>
        <v>56250</v>
      </c>
      <c r="G112" s="197">
        <v>1800</v>
      </c>
      <c r="H112" s="197">
        <v>200</v>
      </c>
      <c r="I112" s="197">
        <f t="shared" si="28"/>
        <v>2000</v>
      </c>
      <c r="J112" s="216">
        <f>I112/D112</f>
        <v>0.88888888888888884</v>
      </c>
      <c r="K112" s="200">
        <f t="shared" si="27"/>
        <v>45000</v>
      </c>
      <c r="L112" s="199">
        <f t="shared" si="29"/>
        <v>5000</v>
      </c>
      <c r="M112" s="201">
        <f t="shared" si="24"/>
        <v>50000</v>
      </c>
    </row>
    <row r="113" spans="1:13">
      <c r="A113" s="66">
        <v>1.04</v>
      </c>
      <c r="B113" s="59" t="s">
        <v>66</v>
      </c>
      <c r="C113" s="104"/>
      <c r="D113" s="229"/>
      <c r="E113" s="229"/>
      <c r="F113" s="235">
        <f>SUM(F110:F112)</f>
        <v>761602.5</v>
      </c>
      <c r="G113" s="197"/>
      <c r="H113" s="197"/>
      <c r="I113" s="197"/>
      <c r="J113" s="198"/>
      <c r="K113" s="231">
        <f>SUM(K110:K112)</f>
        <v>456282</v>
      </c>
      <c r="L113" s="219">
        <f>SUM(L110:L112)</f>
        <v>33698</v>
      </c>
      <c r="M113" s="220">
        <f>K113+L113</f>
        <v>489980</v>
      </c>
    </row>
    <row r="114" spans="1:13">
      <c r="A114" s="233">
        <v>2</v>
      </c>
      <c r="B114" s="236" t="s">
        <v>169</v>
      </c>
      <c r="C114" s="104"/>
      <c r="D114" s="229"/>
      <c r="E114" s="229"/>
      <c r="F114" s="237"/>
      <c r="G114" s="197"/>
      <c r="H114" s="197"/>
      <c r="I114" s="197"/>
      <c r="J114" s="198"/>
      <c r="K114" s="199"/>
      <c r="L114" s="219"/>
      <c r="M114" s="220"/>
    </row>
    <row r="115" spans="1:13">
      <c r="A115" s="238">
        <v>2.0099999999999998</v>
      </c>
      <c r="B115" s="239" t="s">
        <v>732</v>
      </c>
      <c r="C115" s="104" t="s">
        <v>38</v>
      </c>
      <c r="D115" s="229">
        <v>2362.5</v>
      </c>
      <c r="E115" s="229">
        <v>2022.65</v>
      </c>
      <c r="F115" s="234">
        <f t="shared" ref="F115" si="30">D115*E115</f>
        <v>4778510.625</v>
      </c>
      <c r="G115" s="197">
        <v>1800</v>
      </c>
      <c r="H115" s="197">
        <v>200</v>
      </c>
      <c r="I115" s="197">
        <f t="shared" ref="I115" si="31">+G115+H115</f>
        <v>2000</v>
      </c>
      <c r="J115" s="216">
        <f>I115/D115</f>
        <v>0.84656084656084651</v>
      </c>
      <c r="K115" s="200">
        <f t="shared" ref="K115:K121" si="32">G115*E115</f>
        <v>3640770</v>
      </c>
      <c r="L115" s="199">
        <f>H115*E115</f>
        <v>404530</v>
      </c>
      <c r="M115" s="201">
        <f>K115+L115</f>
        <v>4045300</v>
      </c>
    </row>
    <row r="116" spans="1:13">
      <c r="A116" s="238">
        <v>2.02</v>
      </c>
      <c r="B116" s="240" t="s">
        <v>66</v>
      </c>
      <c r="C116" s="104"/>
      <c r="D116" s="229"/>
      <c r="E116" s="229"/>
      <c r="F116" s="241">
        <f>SUM(F115)</f>
        <v>4778510.625</v>
      </c>
      <c r="G116" s="197"/>
      <c r="H116" s="197"/>
      <c r="I116" s="197"/>
      <c r="J116" s="198"/>
      <c r="K116" s="219">
        <f>SUM(K115)</f>
        <v>3640770</v>
      </c>
      <c r="L116" s="219">
        <f>SUM(L115)</f>
        <v>404530</v>
      </c>
      <c r="M116" s="220">
        <f>K116+L116</f>
        <v>4045300</v>
      </c>
    </row>
    <row r="117" spans="1:13">
      <c r="A117" s="233">
        <v>3</v>
      </c>
      <c r="B117" s="236" t="s">
        <v>172</v>
      </c>
      <c r="C117" s="104"/>
      <c r="D117" s="111"/>
      <c r="E117" s="111"/>
      <c r="F117" s="242"/>
      <c r="G117" s="197"/>
      <c r="H117" s="197"/>
      <c r="I117" s="197"/>
      <c r="J117" s="198"/>
      <c r="K117" s="199"/>
      <c r="L117" s="219"/>
      <c r="M117" s="220"/>
    </row>
    <row r="118" spans="1:13">
      <c r="A118" s="238">
        <v>3.01</v>
      </c>
      <c r="B118" s="239" t="s">
        <v>44</v>
      </c>
      <c r="C118" s="104" t="s">
        <v>45</v>
      </c>
      <c r="D118" s="229">
        <f>D110*0.6*1.1</f>
        <v>1485.0000000000002</v>
      </c>
      <c r="E118" s="111">
        <v>562.30999999999995</v>
      </c>
      <c r="F118" s="234">
        <f t="shared" ref="F118:F121" si="33">D118*E118</f>
        <v>835030.35000000009</v>
      </c>
      <c r="G118" s="197">
        <v>1188</v>
      </c>
      <c r="H118" s="197">
        <v>200</v>
      </c>
      <c r="I118" s="197">
        <f t="shared" ref="I118:I121" si="34">+G118+H118</f>
        <v>1388</v>
      </c>
      <c r="J118" s="216">
        <f>I118/D118</f>
        <v>0.93468013468013456</v>
      </c>
      <c r="K118" s="200">
        <f t="shared" si="32"/>
        <v>668024.27999999991</v>
      </c>
      <c r="L118" s="199">
        <f>H118*E118</f>
        <v>112461.99999999999</v>
      </c>
      <c r="M118" s="201">
        <f>K118+L118</f>
        <v>780486.27999999991</v>
      </c>
    </row>
    <row r="119" spans="1:13">
      <c r="A119" s="238">
        <v>3.02</v>
      </c>
      <c r="B119" s="239" t="s">
        <v>173</v>
      </c>
      <c r="C119" s="104" t="s">
        <v>45</v>
      </c>
      <c r="D119" s="229">
        <f>2250*0.1*0.6</f>
        <v>135</v>
      </c>
      <c r="E119" s="111">
        <v>2715.82</v>
      </c>
      <c r="F119" s="234">
        <f t="shared" si="33"/>
        <v>366635.7</v>
      </c>
      <c r="G119" s="197">
        <v>108</v>
      </c>
      <c r="H119" s="197">
        <f>I118*0.6*0.1</f>
        <v>83.28</v>
      </c>
      <c r="I119" s="197">
        <f t="shared" si="34"/>
        <v>191.28</v>
      </c>
      <c r="J119" s="216">
        <f t="shared" ref="J119:J121" si="35">I119/D119</f>
        <v>1.4168888888888889</v>
      </c>
      <c r="K119" s="200">
        <f t="shared" si="32"/>
        <v>293308.56</v>
      </c>
      <c r="L119" s="199">
        <f t="shared" ref="L119:L121" si="36">H119*E119</f>
        <v>226173.48960000003</v>
      </c>
      <c r="M119" s="201">
        <f t="shared" ref="M119:M121" si="37">K119+L119</f>
        <v>519482.04960000003</v>
      </c>
    </row>
    <row r="120" spans="1:13">
      <c r="A120" s="238">
        <v>3.03</v>
      </c>
      <c r="B120" s="239" t="s">
        <v>126</v>
      </c>
      <c r="C120" s="104" t="s">
        <v>45</v>
      </c>
      <c r="D120" s="229">
        <v>445.5</v>
      </c>
      <c r="E120" s="111">
        <v>504.29</v>
      </c>
      <c r="F120" s="234">
        <f t="shared" si="33"/>
        <v>224661.19500000001</v>
      </c>
      <c r="G120" s="197">
        <v>356.4</v>
      </c>
      <c r="H120" s="197"/>
      <c r="I120" s="197">
        <f t="shared" si="34"/>
        <v>356.4</v>
      </c>
      <c r="J120" s="216">
        <f t="shared" si="35"/>
        <v>0.79999999999999993</v>
      </c>
      <c r="K120" s="200">
        <f t="shared" si="32"/>
        <v>179728.95600000001</v>
      </c>
      <c r="L120" s="199"/>
      <c r="M120" s="201">
        <f t="shared" si="37"/>
        <v>179728.95600000001</v>
      </c>
    </row>
    <row r="121" spans="1:13">
      <c r="A121" s="238">
        <v>3.04</v>
      </c>
      <c r="B121" s="239" t="s">
        <v>48</v>
      </c>
      <c r="C121" s="104" t="s">
        <v>45</v>
      </c>
      <c r="D121" s="229">
        <v>1350.5</v>
      </c>
      <c r="E121" s="111">
        <v>719.98</v>
      </c>
      <c r="F121" s="228">
        <f t="shared" si="33"/>
        <v>972332.99</v>
      </c>
      <c r="G121" s="243">
        <v>945.15</v>
      </c>
      <c r="H121" s="197">
        <v>250</v>
      </c>
      <c r="I121" s="197">
        <f t="shared" si="34"/>
        <v>1195.1500000000001</v>
      </c>
      <c r="J121" s="216">
        <f t="shared" si="35"/>
        <v>0.88496853017400967</v>
      </c>
      <c r="K121" s="200">
        <f t="shared" si="32"/>
        <v>680489.09699999995</v>
      </c>
      <c r="L121" s="199">
        <f t="shared" si="36"/>
        <v>179995</v>
      </c>
      <c r="M121" s="244">
        <f t="shared" si="37"/>
        <v>860484.09699999995</v>
      </c>
    </row>
    <row r="122" spans="1:13">
      <c r="A122" s="238"/>
      <c r="B122" s="59" t="s">
        <v>66</v>
      </c>
      <c r="C122" s="104"/>
      <c r="D122" s="111"/>
      <c r="E122" s="111"/>
      <c r="F122" s="230">
        <f>SUM(F118:F121)</f>
        <v>2398660.2350000003</v>
      </c>
      <c r="G122" s="197"/>
      <c r="H122" s="197"/>
      <c r="I122" s="197"/>
      <c r="J122" s="197"/>
      <c r="K122" s="231">
        <f>SUM(K118:K121)</f>
        <v>1821550.8929999997</v>
      </c>
      <c r="L122" s="231">
        <f>SUM(L118:L121)</f>
        <v>518630.48960000003</v>
      </c>
      <c r="M122" s="231">
        <f>K122+L122</f>
        <v>2340181.3825999997</v>
      </c>
    </row>
    <row r="123" spans="1:13">
      <c r="A123" s="233" t="s">
        <v>237</v>
      </c>
      <c r="B123" s="222" t="s">
        <v>164</v>
      </c>
      <c r="C123" s="104"/>
      <c r="D123" s="111"/>
      <c r="E123" s="111"/>
      <c r="F123" s="230"/>
      <c r="G123" s="197"/>
      <c r="H123" s="197"/>
      <c r="I123" s="197"/>
      <c r="J123" s="197"/>
      <c r="K123" s="231"/>
      <c r="L123" s="231"/>
      <c r="M123" s="231"/>
    </row>
    <row r="124" spans="1:13" ht="39">
      <c r="A124" s="238">
        <v>1</v>
      </c>
      <c r="B124" s="1052" t="s">
        <v>733</v>
      </c>
      <c r="C124" s="104"/>
      <c r="D124" s="111"/>
      <c r="E124" s="111"/>
      <c r="F124" s="230"/>
      <c r="G124" s="197"/>
      <c r="H124" s="197"/>
      <c r="I124" s="197"/>
      <c r="J124" s="197"/>
      <c r="K124" s="231"/>
      <c r="L124" s="231"/>
      <c r="M124" s="231"/>
    </row>
    <row r="125" spans="1:13">
      <c r="A125" s="238">
        <f>A124+0.01</f>
        <v>1.01</v>
      </c>
      <c r="B125" s="222" t="s">
        <v>75</v>
      </c>
      <c r="C125" s="104"/>
      <c r="D125" s="111"/>
      <c r="E125" s="111"/>
      <c r="F125" s="230"/>
      <c r="G125" s="197"/>
      <c r="H125" s="197"/>
      <c r="I125" s="197"/>
      <c r="J125" s="197"/>
      <c r="K125" s="231"/>
      <c r="L125" s="231"/>
      <c r="M125" s="231"/>
    </row>
    <row r="126" spans="1:13">
      <c r="A126" s="238">
        <f t="shared" ref="A126:A128" si="38">A125+0.01</f>
        <v>1.02</v>
      </c>
      <c r="B126" s="111" t="s">
        <v>37</v>
      </c>
      <c r="C126" s="227" t="s">
        <v>38</v>
      </c>
      <c r="D126" s="228">
        <v>440</v>
      </c>
      <c r="E126" s="228">
        <v>143.49</v>
      </c>
      <c r="F126" s="228">
        <f t="shared" ref="F126:F128" si="39">D126*E126</f>
        <v>63135.600000000006</v>
      </c>
      <c r="G126" s="197"/>
      <c r="H126" s="1053">
        <v>440</v>
      </c>
      <c r="I126" s="197">
        <f t="shared" ref="I126:I138" si="40">+G126+H126</f>
        <v>440</v>
      </c>
      <c r="J126" s="216">
        <f t="shared" ref="J126:J138" si="41">I126/D126</f>
        <v>1</v>
      </c>
      <c r="K126" s="231"/>
      <c r="L126" s="199">
        <f>H126*E126</f>
        <v>63135.600000000006</v>
      </c>
      <c r="M126" s="201">
        <f>K126+L126</f>
        <v>63135.600000000006</v>
      </c>
    </row>
    <row r="127" spans="1:13">
      <c r="A127" s="238">
        <f t="shared" si="38"/>
        <v>1.03</v>
      </c>
      <c r="B127" s="111" t="s">
        <v>166</v>
      </c>
      <c r="C127" s="227" t="s">
        <v>38</v>
      </c>
      <c r="D127" s="228">
        <v>880</v>
      </c>
      <c r="E127" s="228">
        <v>85</v>
      </c>
      <c r="F127" s="228">
        <f t="shared" si="39"/>
        <v>74800</v>
      </c>
      <c r="G127" s="197"/>
      <c r="H127" s="1053">
        <v>440</v>
      </c>
      <c r="I127" s="197">
        <f t="shared" si="40"/>
        <v>440</v>
      </c>
      <c r="J127" s="216">
        <f t="shared" si="41"/>
        <v>0.5</v>
      </c>
      <c r="K127" s="231"/>
      <c r="L127" s="199">
        <f t="shared" ref="L127:L128" si="42">H127*E127</f>
        <v>37400</v>
      </c>
      <c r="M127" s="201">
        <f t="shared" ref="M127:M129" si="43">K127+L127</f>
        <v>37400</v>
      </c>
    </row>
    <row r="128" spans="1:13">
      <c r="A128" s="238">
        <f t="shared" si="38"/>
        <v>1.04</v>
      </c>
      <c r="B128" s="111" t="s">
        <v>167</v>
      </c>
      <c r="C128" s="104" t="s">
        <v>38</v>
      </c>
      <c r="D128" s="229">
        <v>440</v>
      </c>
      <c r="E128" s="229">
        <v>25</v>
      </c>
      <c r="F128" s="228">
        <f t="shared" si="39"/>
        <v>11000</v>
      </c>
      <c r="G128" s="197"/>
      <c r="H128" s="1054">
        <v>440</v>
      </c>
      <c r="I128" s="197">
        <f t="shared" si="40"/>
        <v>440</v>
      </c>
      <c r="J128" s="216">
        <f t="shared" si="41"/>
        <v>1</v>
      </c>
      <c r="K128" s="231"/>
      <c r="L128" s="199">
        <f t="shared" si="42"/>
        <v>11000</v>
      </c>
      <c r="M128" s="201">
        <f t="shared" si="43"/>
        <v>11000</v>
      </c>
    </row>
    <row r="129" spans="1:13">
      <c r="A129" s="238"/>
      <c r="B129" s="59" t="s">
        <v>66</v>
      </c>
      <c r="C129" s="104"/>
      <c r="D129" s="111"/>
      <c r="E129" s="111"/>
      <c r="F129" s="230">
        <f>SUM(F126:F128)</f>
        <v>148935.6</v>
      </c>
      <c r="G129" s="197"/>
      <c r="H129" s="1055"/>
      <c r="I129" s="197"/>
      <c r="J129" s="216"/>
      <c r="K129" s="231"/>
      <c r="L129" s="231">
        <f>SUM(L126:L128)</f>
        <v>111535.6</v>
      </c>
      <c r="M129" s="220">
        <f t="shared" si="43"/>
        <v>111535.6</v>
      </c>
    </row>
    <row r="130" spans="1:13">
      <c r="A130" s="238">
        <v>2</v>
      </c>
      <c r="B130" s="112" t="s">
        <v>169</v>
      </c>
      <c r="C130" s="1056"/>
      <c r="D130" s="106"/>
      <c r="E130" s="1057"/>
      <c r="F130" s="1058"/>
      <c r="G130" s="197"/>
      <c r="H130" s="1059"/>
      <c r="I130" s="197"/>
      <c r="J130" s="216"/>
      <c r="K130" s="231"/>
      <c r="L130" s="199"/>
      <c r="M130" s="231"/>
    </row>
    <row r="131" spans="1:13">
      <c r="A131" s="238">
        <f>A130+0.01</f>
        <v>2.0099999999999998</v>
      </c>
      <c r="B131" s="111" t="s">
        <v>732</v>
      </c>
      <c r="C131" s="104" t="s">
        <v>38</v>
      </c>
      <c r="D131" s="111">
        <v>456.75</v>
      </c>
      <c r="E131" s="229">
        <v>2022.65</v>
      </c>
      <c r="F131" s="1060">
        <f>+D131*E131</f>
        <v>923845.38750000007</v>
      </c>
      <c r="G131" s="197"/>
      <c r="H131" s="1055">
        <v>456.75</v>
      </c>
      <c r="I131" s="197">
        <f t="shared" si="40"/>
        <v>456.75</v>
      </c>
      <c r="J131" s="216">
        <f t="shared" si="41"/>
        <v>1</v>
      </c>
      <c r="K131" s="231"/>
      <c r="L131" s="199">
        <f t="shared" ref="L131" si="44">H131*E131</f>
        <v>923845.38750000007</v>
      </c>
      <c r="M131" s="201">
        <f t="shared" ref="M131:M132" si="45">K131+L131</f>
        <v>923845.38750000007</v>
      </c>
    </row>
    <row r="132" spans="1:13">
      <c r="A132" s="238"/>
      <c r="B132" s="59" t="s">
        <v>66</v>
      </c>
      <c r="C132" s="1061"/>
      <c r="D132" s="1062"/>
      <c r="E132" s="1063"/>
      <c r="F132" s="1064">
        <f>SUM(F131)</f>
        <v>923845.38750000007</v>
      </c>
      <c r="G132" s="197"/>
      <c r="H132" s="1065"/>
      <c r="I132" s="197"/>
      <c r="J132" s="216"/>
      <c r="K132" s="231"/>
      <c r="L132" s="231">
        <f>SUM(L131)</f>
        <v>923845.38750000007</v>
      </c>
      <c r="M132" s="220">
        <f t="shared" si="45"/>
        <v>923845.38750000007</v>
      </c>
    </row>
    <row r="133" spans="1:13">
      <c r="A133" s="233">
        <v>3</v>
      </c>
      <c r="B133" s="112" t="s">
        <v>172</v>
      </c>
      <c r="C133" s="104"/>
      <c r="D133" s="111"/>
      <c r="E133" s="111"/>
      <c r="F133" s="230"/>
      <c r="G133" s="197"/>
      <c r="H133" s="1055"/>
      <c r="I133" s="197"/>
      <c r="J133" s="216"/>
      <c r="K133" s="231"/>
      <c r="L133" s="199"/>
      <c r="M133" s="231"/>
    </row>
    <row r="134" spans="1:13">
      <c r="A134" s="238">
        <f>A133+0.01</f>
        <v>3.01</v>
      </c>
      <c r="B134" s="111" t="s">
        <v>44</v>
      </c>
      <c r="C134" s="104" t="s">
        <v>45</v>
      </c>
      <c r="D134" s="1066">
        <f>D126*0.6*0.9</f>
        <v>237.6</v>
      </c>
      <c r="E134" s="229">
        <v>562.30999999999995</v>
      </c>
      <c r="F134" s="1060">
        <f>+D134*E134</f>
        <v>133604.85599999997</v>
      </c>
      <c r="G134" s="197"/>
      <c r="H134" s="1067">
        <f>H126*0.6*0.9</f>
        <v>237.6</v>
      </c>
      <c r="I134" s="197">
        <f t="shared" si="40"/>
        <v>237.6</v>
      </c>
      <c r="J134" s="216">
        <f t="shared" si="41"/>
        <v>1</v>
      </c>
      <c r="K134" s="231"/>
      <c r="L134" s="199">
        <f t="shared" ref="L134:L138" si="46">H134*E134</f>
        <v>133604.85599999997</v>
      </c>
      <c r="M134" s="201">
        <f t="shared" ref="M134:M139" si="47">K134+L134</f>
        <v>133604.85599999997</v>
      </c>
    </row>
    <row r="135" spans="1:13">
      <c r="A135" s="238">
        <f t="shared" ref="A135:A137" si="48">A134+0.01</f>
        <v>3.0199999999999996</v>
      </c>
      <c r="B135" s="111" t="s">
        <v>173</v>
      </c>
      <c r="C135" s="104" t="s">
        <v>45</v>
      </c>
      <c r="D135" s="1068">
        <f>0.6*0.1*D126</f>
        <v>26.4</v>
      </c>
      <c r="E135" s="229">
        <v>2715.82</v>
      </c>
      <c r="F135" s="1060">
        <f t="shared" ref="F135:F137" si="49">+D135*E135</f>
        <v>71697.648000000001</v>
      </c>
      <c r="G135" s="197"/>
      <c r="H135" s="1069">
        <f>0.6*0.1*H126</f>
        <v>26.4</v>
      </c>
      <c r="I135" s="197">
        <f t="shared" si="40"/>
        <v>26.4</v>
      </c>
      <c r="J135" s="216">
        <f t="shared" si="41"/>
        <v>1</v>
      </c>
      <c r="K135" s="231"/>
      <c r="L135" s="199">
        <f t="shared" si="46"/>
        <v>71697.648000000001</v>
      </c>
      <c r="M135" s="220">
        <f t="shared" si="47"/>
        <v>71697.648000000001</v>
      </c>
    </row>
    <row r="136" spans="1:13">
      <c r="A136" s="238">
        <f t="shared" si="48"/>
        <v>3.0299999999999994</v>
      </c>
      <c r="B136" s="111" t="s">
        <v>126</v>
      </c>
      <c r="C136" s="104" t="s">
        <v>45</v>
      </c>
      <c r="D136" s="1066">
        <f>D134*0.3*1.25</f>
        <v>89.1</v>
      </c>
      <c r="E136" s="229">
        <v>504.29</v>
      </c>
      <c r="F136" s="1060">
        <f t="shared" si="49"/>
        <v>44932.239000000001</v>
      </c>
      <c r="G136" s="197"/>
      <c r="H136" s="1067">
        <f>H134*0.3*1.25</f>
        <v>89.1</v>
      </c>
      <c r="I136" s="197">
        <f t="shared" si="40"/>
        <v>89.1</v>
      </c>
      <c r="J136" s="216">
        <f t="shared" si="41"/>
        <v>1</v>
      </c>
      <c r="K136" s="231"/>
      <c r="L136" s="199">
        <f t="shared" si="46"/>
        <v>44932.239000000001</v>
      </c>
      <c r="M136" s="201">
        <f t="shared" si="47"/>
        <v>44932.239000000001</v>
      </c>
    </row>
    <row r="137" spans="1:13">
      <c r="A137" s="238">
        <f t="shared" si="48"/>
        <v>3.0399999999999991</v>
      </c>
      <c r="B137" s="111" t="s">
        <v>48</v>
      </c>
      <c r="C137" s="104" t="s">
        <v>45</v>
      </c>
      <c r="D137" s="1066">
        <f>(D134-D136)*(1.3)</f>
        <v>193.05</v>
      </c>
      <c r="E137" s="229">
        <v>719.98</v>
      </c>
      <c r="F137" s="1060">
        <f t="shared" si="49"/>
        <v>138992.13900000002</v>
      </c>
      <c r="G137" s="197"/>
      <c r="H137" s="1067">
        <f>(H134-H136)*(1.3)</f>
        <v>193.05</v>
      </c>
      <c r="I137" s="197">
        <f t="shared" si="40"/>
        <v>193.05</v>
      </c>
      <c r="J137" s="216">
        <f t="shared" si="41"/>
        <v>1</v>
      </c>
      <c r="K137" s="231"/>
      <c r="L137" s="199">
        <f t="shared" si="46"/>
        <v>138992.13900000002</v>
      </c>
      <c r="M137" s="220">
        <f t="shared" si="47"/>
        <v>138992.13900000002</v>
      </c>
    </row>
    <row r="138" spans="1:13">
      <c r="A138" s="238"/>
      <c r="B138" s="111" t="s">
        <v>734</v>
      </c>
      <c r="C138" s="66" t="s">
        <v>175</v>
      </c>
      <c r="D138" s="1066">
        <v>40</v>
      </c>
      <c r="E138" s="229">
        <v>2400</v>
      </c>
      <c r="F138" s="1060">
        <f>+D138*E138</f>
        <v>96000</v>
      </c>
      <c r="G138" s="197"/>
      <c r="H138" s="1067">
        <v>40</v>
      </c>
      <c r="I138" s="197">
        <f t="shared" si="40"/>
        <v>40</v>
      </c>
      <c r="J138" s="216">
        <f t="shared" si="41"/>
        <v>1</v>
      </c>
      <c r="K138" s="231"/>
      <c r="L138" s="199">
        <f t="shared" si="46"/>
        <v>96000</v>
      </c>
      <c r="M138" s="201">
        <f t="shared" si="47"/>
        <v>96000</v>
      </c>
    </row>
    <row r="139" spans="1:13">
      <c r="A139" s="238"/>
      <c r="B139" s="59" t="s">
        <v>66</v>
      </c>
      <c r="C139" s="104"/>
      <c r="D139" s="111"/>
      <c r="E139" s="111"/>
      <c r="F139" s="230">
        <f>SUM(F134:F138)</f>
        <v>485226.88199999998</v>
      </c>
      <c r="G139" s="197"/>
      <c r="H139" s="197"/>
      <c r="I139" s="197"/>
      <c r="J139" s="197"/>
      <c r="K139" s="231"/>
      <c r="L139" s="231">
        <f>SUM(L134:L138)</f>
        <v>485226.88199999998</v>
      </c>
      <c r="M139" s="220">
        <f t="shared" si="47"/>
        <v>485226.88199999998</v>
      </c>
    </row>
    <row r="140" spans="1:13" ht="26.25">
      <c r="A140" s="233">
        <v>4</v>
      </c>
      <c r="B140" s="1052" t="s">
        <v>735</v>
      </c>
      <c r="C140" s="104"/>
      <c r="D140" s="111"/>
      <c r="E140" s="111"/>
      <c r="F140" s="230"/>
      <c r="G140" s="197"/>
      <c r="H140" s="197"/>
      <c r="I140" s="197"/>
      <c r="J140" s="197"/>
      <c r="K140" s="231"/>
      <c r="L140" s="231"/>
      <c r="M140" s="220"/>
    </row>
    <row r="141" spans="1:13" ht="24.75">
      <c r="A141" s="238">
        <f>A140+0.01</f>
        <v>4.01</v>
      </c>
      <c r="B141" s="1070" t="s">
        <v>736</v>
      </c>
      <c r="C141" s="227" t="s">
        <v>38</v>
      </c>
      <c r="D141" s="1071">
        <v>456.75</v>
      </c>
      <c r="E141" s="1071">
        <v>620.75</v>
      </c>
      <c r="F141" s="1060">
        <f>+D141*E141</f>
        <v>283527.5625</v>
      </c>
      <c r="G141" s="197"/>
      <c r="H141" s="1072">
        <v>456.75</v>
      </c>
      <c r="I141" s="197">
        <f t="shared" ref="I141:I142" si="50">+G141+H141</f>
        <v>456.75</v>
      </c>
      <c r="J141" s="216">
        <f t="shared" ref="J141:J142" si="51">I141/D141</f>
        <v>1</v>
      </c>
      <c r="K141" s="231"/>
      <c r="L141" s="199">
        <f t="shared" ref="L141:L142" si="52">H141*E141</f>
        <v>283527.5625</v>
      </c>
      <c r="M141" s="201">
        <f t="shared" ref="M141:M143" si="53">K141+L141</f>
        <v>283527.5625</v>
      </c>
    </row>
    <row r="142" spans="1:13">
      <c r="A142" s="238"/>
      <c r="B142" s="111" t="s">
        <v>737</v>
      </c>
      <c r="C142" s="104" t="s">
        <v>32</v>
      </c>
      <c r="D142" s="111">
        <v>50</v>
      </c>
      <c r="E142" s="111">
        <v>3750</v>
      </c>
      <c r="F142" s="1060">
        <f>+D142*E142</f>
        <v>187500</v>
      </c>
      <c r="G142" s="197"/>
      <c r="H142" s="1055">
        <v>25</v>
      </c>
      <c r="I142" s="197">
        <f t="shared" si="50"/>
        <v>25</v>
      </c>
      <c r="J142" s="216">
        <f t="shared" si="51"/>
        <v>0.5</v>
      </c>
      <c r="K142" s="231"/>
      <c r="L142" s="199">
        <f t="shared" si="52"/>
        <v>93750</v>
      </c>
      <c r="M142" s="201">
        <f t="shared" si="53"/>
        <v>93750</v>
      </c>
    </row>
    <row r="143" spans="1:13">
      <c r="A143" s="238"/>
      <c r="B143" s="59" t="s">
        <v>66</v>
      </c>
      <c r="C143" s="104"/>
      <c r="D143" s="111"/>
      <c r="E143" s="111"/>
      <c r="F143" s="230">
        <f>SUM(F141:F142)</f>
        <v>471027.5625</v>
      </c>
      <c r="G143" s="197"/>
      <c r="H143" s="197"/>
      <c r="I143" s="197"/>
      <c r="J143" s="197"/>
      <c r="K143" s="231"/>
      <c r="L143" s="231">
        <f>SUM(L141:L142)</f>
        <v>377277.5625</v>
      </c>
      <c r="M143" s="220">
        <f t="shared" si="53"/>
        <v>377277.5625</v>
      </c>
    </row>
    <row r="144" spans="1:13">
      <c r="A144" s="233">
        <v>5</v>
      </c>
      <c r="B144" s="59" t="s">
        <v>738</v>
      </c>
      <c r="C144" s="104"/>
      <c r="D144" s="111"/>
      <c r="E144" s="111"/>
      <c r="F144" s="230"/>
      <c r="G144" s="197"/>
      <c r="H144" s="197"/>
      <c r="I144" s="197"/>
      <c r="J144" s="197"/>
      <c r="K144" s="231"/>
      <c r="L144" s="231"/>
      <c r="M144" s="220"/>
    </row>
    <row r="145" spans="1:14" ht="36.75">
      <c r="A145" s="238">
        <f>A144+0.01</f>
        <v>5.01</v>
      </c>
      <c r="B145" s="1070" t="s">
        <v>739</v>
      </c>
      <c r="C145" s="1073" t="s">
        <v>32</v>
      </c>
      <c r="D145" s="1073">
        <v>1</v>
      </c>
      <c r="E145" s="1074">
        <f>(142980*1.18)+50000</f>
        <v>218716.4</v>
      </c>
      <c r="F145" s="1074">
        <f>E145*D145</f>
        <v>218716.4</v>
      </c>
      <c r="G145" s="197"/>
      <c r="H145" s="197">
        <v>0.5</v>
      </c>
      <c r="I145" s="197">
        <f t="shared" ref="I145:I146" si="54">+G145+H145</f>
        <v>0.5</v>
      </c>
      <c r="J145" s="216">
        <f t="shared" ref="J145:J146" si="55">I145/D145</f>
        <v>0.5</v>
      </c>
      <c r="K145" s="231"/>
      <c r="L145" s="199">
        <f t="shared" ref="L145:L146" si="56">H145*E145</f>
        <v>109358.2</v>
      </c>
      <c r="M145" s="201">
        <f t="shared" ref="M145:M146" si="57">K145+L145</f>
        <v>109358.2</v>
      </c>
    </row>
    <row r="146" spans="1:14" ht="24.75">
      <c r="A146" s="238">
        <f>A145+0.01</f>
        <v>5.0199999999999996</v>
      </c>
      <c r="B146" s="1070" t="s">
        <v>740</v>
      </c>
      <c r="C146" s="1073" t="s">
        <v>32</v>
      </c>
      <c r="D146" s="1073">
        <v>1</v>
      </c>
      <c r="E146" s="1074">
        <f>(59995*1.18)+20000</f>
        <v>90794.099999999991</v>
      </c>
      <c r="F146" s="1074">
        <f>E146*D146</f>
        <v>90794.099999999991</v>
      </c>
      <c r="G146" s="197"/>
      <c r="H146" s="197">
        <v>0.5</v>
      </c>
      <c r="I146" s="197">
        <f t="shared" si="54"/>
        <v>0.5</v>
      </c>
      <c r="J146" s="216">
        <f t="shared" si="55"/>
        <v>0.5</v>
      </c>
      <c r="K146" s="231"/>
      <c r="L146" s="199">
        <f t="shared" si="56"/>
        <v>45397.049999999996</v>
      </c>
      <c r="M146" s="201">
        <f t="shared" si="57"/>
        <v>45397.049999999996</v>
      </c>
    </row>
    <row r="147" spans="1:14">
      <c r="A147" s="238"/>
      <c r="B147" s="59" t="s">
        <v>66</v>
      </c>
      <c r="C147" s="104"/>
      <c r="D147" s="111"/>
      <c r="E147" s="111"/>
      <c r="F147" s="230">
        <f>SUM(F145:F146)</f>
        <v>309510.5</v>
      </c>
      <c r="G147" s="197"/>
      <c r="H147" s="197"/>
      <c r="I147" s="197"/>
      <c r="J147" s="197"/>
      <c r="K147" s="231"/>
      <c r="L147" s="231">
        <f>SUM(L145:L146)</f>
        <v>154755.25</v>
      </c>
      <c r="M147" s="220">
        <f>SUM(M145:M146)</f>
        <v>154755.25</v>
      </c>
    </row>
    <row r="148" spans="1:14">
      <c r="A148" s="116"/>
      <c r="B148" s="98" t="s">
        <v>178</v>
      </c>
      <c r="C148" s="249"/>
      <c r="D148" s="116"/>
      <c r="E148" s="116"/>
      <c r="F148" s="118">
        <f>F107+F100+F97+F90+F122+F116+F113+F147+F143+F139+F132+F129</f>
        <v>13612619.400599999</v>
      </c>
      <c r="K148" s="118">
        <f>K122+K116+K113+K107+K100+K97+K90</f>
        <v>9133876.1515999995</v>
      </c>
      <c r="L148" s="118">
        <f>L139+L132+L129+L116+L113+L122+L143+L147</f>
        <v>3009499.1716</v>
      </c>
      <c r="M148" s="250">
        <f t="shared" si="24"/>
        <v>12143375.323199999</v>
      </c>
    </row>
    <row r="149" spans="1:14">
      <c r="A149" s="116"/>
      <c r="B149" s="91" t="s">
        <v>82</v>
      </c>
      <c r="C149" s="251"/>
      <c r="D149" s="251"/>
      <c r="E149" s="116"/>
      <c r="F149" s="118">
        <f>F83</f>
        <v>15690282.578127399</v>
      </c>
      <c r="L149" s="118"/>
      <c r="M149" s="250"/>
    </row>
    <row r="150" spans="1:14">
      <c r="A150" s="116"/>
      <c r="B150" s="126" t="s">
        <v>83</v>
      </c>
      <c r="C150" s="7"/>
      <c r="D150" s="7"/>
      <c r="E150" s="116"/>
      <c r="F150" s="118">
        <f>F16+F19+F25+F28+F32+F35+F41+F44+F53</f>
        <v>14017742.050000001</v>
      </c>
      <c r="L150" s="118"/>
      <c r="M150" s="250"/>
    </row>
    <row r="151" spans="1:14">
      <c r="A151" s="116"/>
      <c r="B151" s="10" t="s">
        <v>84</v>
      </c>
      <c r="C151" s="7"/>
      <c r="D151" s="7"/>
      <c r="E151" s="116"/>
      <c r="F151" s="118">
        <f>F149-F150</f>
        <v>1672540.5281273983</v>
      </c>
      <c r="L151" s="118"/>
      <c r="M151" s="250"/>
    </row>
    <row r="152" spans="1:14">
      <c r="A152" s="116"/>
      <c r="B152" s="10" t="s">
        <v>85</v>
      </c>
      <c r="C152" s="7"/>
      <c r="D152" s="7"/>
      <c r="E152" s="116"/>
      <c r="F152" s="118">
        <f>F151</f>
        <v>1672540.5281273983</v>
      </c>
      <c r="L152" s="118"/>
      <c r="M152" s="250"/>
    </row>
    <row r="153" spans="1:14">
      <c r="A153" s="116"/>
      <c r="B153" s="98" t="s">
        <v>179</v>
      </c>
      <c r="C153" s="7"/>
      <c r="D153" s="7"/>
      <c r="E153" s="116"/>
      <c r="F153" s="118"/>
      <c r="L153" s="118"/>
      <c r="M153" s="250"/>
    </row>
    <row r="154" spans="1:14">
      <c r="A154" s="116"/>
      <c r="B154" s="98" t="s">
        <v>180</v>
      </c>
      <c r="C154" s="252"/>
      <c r="D154" s="98"/>
      <c r="E154" s="98"/>
      <c r="F154" s="118"/>
      <c r="L154" s="118"/>
      <c r="M154" s="250"/>
    </row>
    <row r="155" spans="1:14">
      <c r="A155" s="116"/>
      <c r="C155" s="253"/>
      <c r="L155" s="118"/>
      <c r="M155" s="250"/>
    </row>
    <row r="156" spans="1:14">
      <c r="A156" s="116"/>
      <c r="B156" s="98"/>
      <c r="C156" s="249"/>
      <c r="D156" s="116"/>
      <c r="E156" s="116"/>
      <c r="F156" s="118"/>
      <c r="L156" s="118"/>
      <c r="M156" s="250"/>
    </row>
    <row r="157" spans="1:14">
      <c r="A157" s="116"/>
      <c r="B157" s="98"/>
      <c r="C157" s="249"/>
      <c r="D157" s="116"/>
      <c r="E157" s="116"/>
      <c r="F157" s="118"/>
      <c r="L157" s="118"/>
      <c r="M157" s="250"/>
    </row>
    <row r="158" spans="1:14">
      <c r="B158" s="1085" t="s">
        <v>0</v>
      </c>
      <c r="C158" s="1085"/>
      <c r="D158" s="1085"/>
      <c r="E158" s="1085"/>
      <c r="F158" s="1085"/>
      <c r="G158" s="1085"/>
      <c r="H158" s="1085"/>
      <c r="I158" s="1085"/>
      <c r="J158" s="1085"/>
      <c r="K158" s="1085"/>
      <c r="L158" s="1085"/>
      <c r="M158" s="1085"/>
      <c r="N158" s="1085"/>
    </row>
    <row r="159" spans="1:14">
      <c r="B159" s="1079" t="s">
        <v>1</v>
      </c>
      <c r="C159" s="1079"/>
      <c r="D159" s="1079"/>
      <c r="E159" s="1079"/>
      <c r="F159" s="1079"/>
      <c r="G159" s="1079"/>
      <c r="H159" s="1079"/>
      <c r="I159" s="1079"/>
      <c r="J159" s="1079"/>
      <c r="K159" s="1079"/>
      <c r="L159" s="1079"/>
      <c r="M159" s="1079"/>
      <c r="N159" s="1079"/>
    </row>
    <row r="160" spans="1:14">
      <c r="B160" s="5" t="s">
        <v>3</v>
      </c>
      <c r="C160" s="1099" t="s">
        <v>118</v>
      </c>
      <c r="D160" s="1099"/>
      <c r="E160" s="1099"/>
      <c r="F160" s="1099"/>
      <c r="G160" s="1099"/>
      <c r="H160" s="1099"/>
      <c r="I160" s="1099"/>
      <c r="J160" s="7"/>
      <c r="K160" s="7"/>
      <c r="L160" s="5" t="s">
        <v>5</v>
      </c>
      <c r="M160" s="131">
        <v>19236531.640000001</v>
      </c>
      <c r="N160" s="131">
        <v>19236531.640000001</v>
      </c>
    </row>
    <row r="161" spans="2:14">
      <c r="B161" s="5" t="s">
        <v>7</v>
      </c>
      <c r="C161" s="9">
        <v>3</v>
      </c>
      <c r="D161" s="7"/>
      <c r="E161" s="10"/>
      <c r="F161" s="10"/>
      <c r="G161" s="10"/>
      <c r="H161" s="7"/>
      <c r="I161" s="7"/>
      <c r="J161" s="7"/>
      <c r="K161" s="7"/>
      <c r="L161" s="5" t="s">
        <v>8</v>
      </c>
      <c r="M161" s="131">
        <f>M160*0.2</f>
        <v>3847306.3280000002</v>
      </c>
      <c r="N161" s="254"/>
    </row>
    <row r="162" spans="2:14">
      <c r="B162" s="5" t="s">
        <v>9</v>
      </c>
      <c r="C162" s="9" t="s">
        <v>731</v>
      </c>
      <c r="D162" s="10"/>
      <c r="E162" s="10"/>
      <c r="F162" s="10"/>
      <c r="G162" s="11"/>
      <c r="H162" s="7"/>
      <c r="I162" s="7"/>
      <c r="J162" s="7"/>
      <c r="K162" s="7"/>
      <c r="L162" s="5" t="s">
        <v>12</v>
      </c>
      <c r="M162" s="132" t="s">
        <v>120</v>
      </c>
      <c r="N162" s="255"/>
    </row>
    <row r="163" spans="2:14">
      <c r="B163" s="5" t="s">
        <v>14</v>
      </c>
      <c r="C163" s="10" t="s">
        <v>741</v>
      </c>
      <c r="D163" s="10"/>
      <c r="E163" s="10"/>
      <c r="F163" s="10"/>
      <c r="G163" s="10"/>
      <c r="H163" s="7"/>
      <c r="I163" s="7"/>
      <c r="J163" s="7"/>
      <c r="K163" s="7"/>
      <c r="L163" s="7"/>
      <c r="M163" s="7"/>
      <c r="N163" s="255"/>
    </row>
    <row r="164" spans="2:14">
      <c r="C164" s="5"/>
      <c r="D164" s="10"/>
      <c r="E164" s="10"/>
      <c r="F164" s="10"/>
      <c r="G164" s="10"/>
      <c r="H164" s="7"/>
      <c r="I164" s="7"/>
      <c r="J164" s="7"/>
      <c r="K164" s="7"/>
      <c r="L164" s="7"/>
      <c r="M164" s="159" t="s">
        <v>182</v>
      </c>
      <c r="N164" s="255"/>
    </row>
    <row r="165" spans="2:14">
      <c r="B165" s="5"/>
      <c r="C165" s="5"/>
      <c r="D165" s="10"/>
      <c r="E165" s="1097" t="s">
        <v>90</v>
      </c>
      <c r="F165" s="1097"/>
      <c r="G165" s="256"/>
      <c r="H165" s="1100" t="s">
        <v>25</v>
      </c>
      <c r="I165" s="1100"/>
      <c r="J165" s="1097" t="s">
        <v>26</v>
      </c>
      <c r="K165" s="1097"/>
      <c r="L165" s="1097" t="s">
        <v>27</v>
      </c>
      <c r="M165" s="1097"/>
      <c r="N165" s="255"/>
    </row>
    <row r="166" spans="2:14">
      <c r="B166" s="10" t="s">
        <v>91</v>
      </c>
      <c r="C166" s="10"/>
      <c r="D166" s="10"/>
      <c r="E166" s="1097">
        <f>F148+F151</f>
        <v>15285159.928727398</v>
      </c>
      <c r="F166" s="1097"/>
      <c r="G166" s="97"/>
      <c r="H166" s="1097">
        <f>K148</f>
        <v>9133876.1515999995</v>
      </c>
      <c r="I166" s="1097"/>
      <c r="J166" s="1091">
        <f>L148</f>
        <v>3009499.1716</v>
      </c>
      <c r="K166" s="1091"/>
      <c r="L166" s="1097">
        <f>H166+J166</f>
        <v>12143375.323199999</v>
      </c>
      <c r="M166" s="1097"/>
      <c r="N166" s="255"/>
    </row>
    <row r="167" spans="2:14">
      <c r="B167" s="9"/>
      <c r="C167" s="5"/>
      <c r="D167" s="10"/>
      <c r="E167" s="97"/>
      <c r="F167" s="97"/>
      <c r="G167" s="97"/>
      <c r="H167" s="1090"/>
      <c r="I167" s="1090"/>
      <c r="J167" s="136"/>
      <c r="K167" s="136"/>
      <c r="L167" s="136"/>
      <c r="M167" s="136"/>
      <c r="N167" s="255"/>
    </row>
    <row r="168" spans="2:14">
      <c r="B168" s="9" t="s">
        <v>93</v>
      </c>
      <c r="C168" s="5"/>
      <c r="D168" s="10"/>
      <c r="E168" s="97"/>
      <c r="F168" s="97"/>
      <c r="G168" s="97"/>
      <c r="H168" s="1090"/>
      <c r="I168" s="1090"/>
      <c r="J168" s="136"/>
      <c r="K168" s="136"/>
      <c r="L168" s="136"/>
      <c r="M168" s="136"/>
      <c r="N168" s="255"/>
    </row>
    <row r="169" spans="2:14">
      <c r="B169" s="9" t="s">
        <v>94</v>
      </c>
      <c r="C169" s="257"/>
      <c r="D169" s="139"/>
      <c r="E169" s="1091"/>
      <c r="F169" s="1091"/>
      <c r="G169" s="141"/>
      <c r="H169" s="1091"/>
      <c r="I169" s="1091"/>
      <c r="J169" s="1097"/>
      <c r="K169" s="1097"/>
      <c r="L169" s="1091"/>
      <c r="M169" s="1091"/>
      <c r="N169" s="255"/>
    </row>
    <row r="170" spans="2:14">
      <c r="B170" s="10" t="s">
        <v>95</v>
      </c>
      <c r="C170" s="257"/>
      <c r="D170" s="142">
        <v>0.04</v>
      </c>
      <c r="E170" s="1091">
        <f>D170*E166</f>
        <v>611406.39714909589</v>
      </c>
      <c r="F170" s="1091"/>
      <c r="G170" s="141"/>
      <c r="H170" s="1091">
        <f>H166*D170</f>
        <v>365355.04606399999</v>
      </c>
      <c r="I170" s="1091"/>
      <c r="J170" s="1097">
        <f>J166*D170</f>
        <v>120379.966864</v>
      </c>
      <c r="K170" s="1097"/>
      <c r="L170" s="1097">
        <f t="shared" ref="L170:L176" si="58">H170+J170</f>
        <v>485735.01292800001</v>
      </c>
      <c r="M170" s="1097"/>
      <c r="N170" s="255"/>
    </row>
    <row r="171" spans="2:14">
      <c r="B171" s="10" t="s">
        <v>96</v>
      </c>
      <c r="C171" s="257"/>
      <c r="D171" s="144">
        <v>0.1</v>
      </c>
      <c r="E171" s="1091">
        <f>D171*E166</f>
        <v>1528515.9928727399</v>
      </c>
      <c r="F171" s="1091"/>
      <c r="G171" s="141"/>
      <c r="H171" s="1091">
        <f>H166*D171</f>
        <v>913387.61516000004</v>
      </c>
      <c r="I171" s="1091"/>
      <c r="J171" s="1097">
        <f>J166*D171</f>
        <v>300949.91716000001</v>
      </c>
      <c r="K171" s="1097"/>
      <c r="L171" s="1097">
        <f t="shared" si="58"/>
        <v>1214337.53232</v>
      </c>
      <c r="M171" s="1097"/>
      <c r="N171" s="255"/>
    </row>
    <row r="172" spans="2:14">
      <c r="B172" s="10" t="s">
        <v>97</v>
      </c>
      <c r="C172" s="257"/>
      <c r="D172" s="144">
        <v>0.18</v>
      </c>
      <c r="E172" s="1091">
        <f>D172*E171</f>
        <v>275132.87871709315</v>
      </c>
      <c r="F172" s="1091"/>
      <c r="G172" s="141"/>
      <c r="H172" s="1091">
        <f>H171*D172</f>
        <v>164409.77072880001</v>
      </c>
      <c r="I172" s="1091"/>
      <c r="J172" s="1097">
        <f>J171*D172</f>
        <v>54170.9850888</v>
      </c>
      <c r="K172" s="1097"/>
      <c r="L172" s="1097">
        <f t="shared" si="58"/>
        <v>218580.7558176</v>
      </c>
      <c r="M172" s="1097"/>
      <c r="N172" s="255"/>
    </row>
    <row r="173" spans="2:14">
      <c r="B173" s="10" t="s">
        <v>98</v>
      </c>
      <c r="C173" s="258"/>
      <c r="D173" s="145">
        <v>4.4999999999999998E-2</v>
      </c>
      <c r="E173" s="1091">
        <f>D173*E166</f>
        <v>687832.19679273292</v>
      </c>
      <c r="F173" s="1091"/>
      <c r="G173" s="141"/>
      <c r="H173" s="1091">
        <f>H166*D173</f>
        <v>411024.42682199995</v>
      </c>
      <c r="I173" s="1091"/>
      <c r="J173" s="1097">
        <f>J166*D173</f>
        <v>135427.462722</v>
      </c>
      <c r="K173" s="1097"/>
      <c r="L173" s="1097">
        <f t="shared" si="58"/>
        <v>546451.88954399992</v>
      </c>
      <c r="M173" s="1097"/>
      <c r="N173" s="255"/>
    </row>
    <row r="174" spans="2:14">
      <c r="B174" s="10" t="s">
        <v>99</v>
      </c>
      <c r="C174" s="257"/>
      <c r="D174" s="139">
        <v>0.03</v>
      </c>
      <c r="E174" s="1091">
        <f>D174*E166</f>
        <v>458554.79786182189</v>
      </c>
      <c r="F174" s="1091"/>
      <c r="G174" s="141"/>
      <c r="H174" s="1091">
        <f>H166*D174</f>
        <v>274016.28454799997</v>
      </c>
      <c r="I174" s="1091"/>
      <c r="J174" s="1097">
        <f>J166*D174</f>
        <v>90284.975147999998</v>
      </c>
      <c r="K174" s="1097"/>
      <c r="L174" s="1097">
        <f t="shared" si="58"/>
        <v>364301.25969599996</v>
      </c>
      <c r="M174" s="1097"/>
      <c r="N174" s="255"/>
    </row>
    <row r="175" spans="2:14">
      <c r="B175" s="10" t="s">
        <v>100</v>
      </c>
      <c r="C175" s="257"/>
      <c r="D175" s="144">
        <v>0.01</v>
      </c>
      <c r="E175" s="1091">
        <f>D175*E166</f>
        <v>152851.59928727397</v>
      </c>
      <c r="F175" s="1091"/>
      <c r="G175" s="141"/>
      <c r="H175" s="1091">
        <f>H166*D175</f>
        <v>91338.761515999999</v>
      </c>
      <c r="I175" s="1091"/>
      <c r="J175" s="1097">
        <f>J166*D175</f>
        <v>30094.991716</v>
      </c>
      <c r="K175" s="1097"/>
      <c r="L175" s="1097">
        <f t="shared" si="58"/>
        <v>121433.753232</v>
      </c>
      <c r="M175" s="1097"/>
      <c r="N175" s="255"/>
    </row>
    <row r="176" spans="2:14">
      <c r="B176" s="10" t="s">
        <v>101</v>
      </c>
      <c r="C176" s="257"/>
      <c r="D176" s="139">
        <v>1E-3</v>
      </c>
      <c r="E176" s="1091">
        <f>D176*E166</f>
        <v>15285.159928727398</v>
      </c>
      <c r="F176" s="1091"/>
      <c r="G176" s="141"/>
      <c r="H176" s="1091">
        <f>H166*D176</f>
        <v>9133.8761515999995</v>
      </c>
      <c r="I176" s="1091"/>
      <c r="J176" s="1097">
        <f>J166*D176</f>
        <v>3009.4991716</v>
      </c>
      <c r="K176" s="1097"/>
      <c r="L176" s="1097">
        <f t="shared" si="58"/>
        <v>12143.3753232</v>
      </c>
      <c r="M176" s="1097"/>
      <c r="N176" s="255"/>
    </row>
    <row r="177" spans="2:14">
      <c r="B177" s="10"/>
      <c r="C177" s="257"/>
      <c r="D177" s="259"/>
      <c r="E177" s="1091"/>
      <c r="F177" s="1091"/>
      <c r="G177" s="141"/>
      <c r="H177" s="1091"/>
      <c r="I177" s="1091"/>
      <c r="J177" s="146"/>
      <c r="K177" s="146"/>
      <c r="L177" s="146"/>
      <c r="M177" s="147"/>
      <c r="N177" s="255"/>
    </row>
    <row r="178" spans="2:14">
      <c r="B178" s="10"/>
      <c r="C178" s="260"/>
      <c r="D178" s="144"/>
      <c r="E178" s="1091"/>
      <c r="F178" s="1091"/>
      <c r="G178" s="141"/>
      <c r="H178" s="1094"/>
      <c r="I178" s="1094"/>
      <c r="J178" s="1095"/>
      <c r="K178" s="1095"/>
      <c r="L178" s="1094"/>
      <c r="M178" s="1094"/>
      <c r="N178" s="255"/>
    </row>
    <row r="179" spans="2:14">
      <c r="B179" s="10"/>
      <c r="C179" s="260"/>
      <c r="D179" s="151"/>
      <c r="E179" s="1091"/>
      <c r="F179" s="1091"/>
      <c r="G179" s="141"/>
      <c r="H179" s="149"/>
      <c r="I179" s="149"/>
      <c r="J179" s="1101"/>
      <c r="K179" s="1101"/>
      <c r="L179" s="1097"/>
      <c r="M179" s="1097"/>
      <c r="N179" s="255"/>
    </row>
    <row r="180" spans="2:14">
      <c r="B180" s="10"/>
      <c r="C180" s="260"/>
      <c r="D180" s="144"/>
      <c r="E180" s="1091"/>
      <c r="F180" s="1091"/>
      <c r="G180" s="141"/>
      <c r="H180" s="149"/>
      <c r="I180" s="149"/>
      <c r="J180" s="1101"/>
      <c r="K180" s="1101"/>
      <c r="L180" s="1097"/>
      <c r="M180" s="1097"/>
      <c r="N180" s="255"/>
    </row>
    <row r="181" spans="2:14">
      <c r="B181" s="10"/>
      <c r="C181" s="260"/>
      <c r="D181" s="144"/>
      <c r="E181" s="140"/>
      <c r="F181" s="140"/>
      <c r="G181" s="141"/>
      <c r="H181" s="149"/>
      <c r="I181" s="149"/>
      <c r="J181" s="150"/>
      <c r="K181" s="150"/>
      <c r="L181" s="149"/>
      <c r="M181" s="149"/>
      <c r="N181" s="255"/>
    </row>
    <row r="182" spans="2:14">
      <c r="B182" s="152" t="s">
        <v>183</v>
      </c>
      <c r="C182" s="258"/>
      <c r="D182" s="127"/>
      <c r="E182" s="1091">
        <f>SUM(E170:F181)</f>
        <v>3729579.0226094853</v>
      </c>
      <c r="F182" s="1091"/>
      <c r="G182" s="141"/>
      <c r="H182" s="1091">
        <f>SUM(H170:I181)</f>
        <v>2228665.7809904004</v>
      </c>
      <c r="I182" s="1091"/>
      <c r="J182" s="1097">
        <f>SUM(J170:K176)</f>
        <v>734317.79787040013</v>
      </c>
      <c r="K182" s="1097"/>
      <c r="L182" s="1091">
        <f>SUM(L170:M178)</f>
        <v>2962983.5788607998</v>
      </c>
      <c r="M182" s="1091"/>
      <c r="N182" s="255"/>
    </row>
    <row r="183" spans="2:14">
      <c r="B183" s="10"/>
      <c r="C183" s="261"/>
      <c r="D183" s="156"/>
      <c r="E183" s="1094"/>
      <c r="F183" s="1094"/>
      <c r="G183" s="141"/>
      <c r="H183" s="1095"/>
      <c r="I183" s="1095"/>
      <c r="J183" s="1095"/>
      <c r="K183" s="1095"/>
      <c r="L183" s="1094"/>
      <c r="M183" s="1094"/>
      <c r="N183" s="255"/>
    </row>
    <row r="184" spans="2:14">
      <c r="B184" s="157" t="s">
        <v>105</v>
      </c>
      <c r="C184" s="262"/>
      <c r="D184" s="159"/>
      <c r="E184" s="1091">
        <f>E166+E182</f>
        <v>19014738.951336883</v>
      </c>
      <c r="F184" s="1091"/>
      <c r="G184" s="263"/>
      <c r="H184" s="1091">
        <f>H166+H182</f>
        <v>11362541.932590399</v>
      </c>
      <c r="I184" s="1091"/>
      <c r="J184" s="1097">
        <f>J182+J166</f>
        <v>3743816.9694704004</v>
      </c>
      <c r="K184" s="1097"/>
      <c r="L184" s="1097">
        <f>H184+J184</f>
        <v>15106358.902060799</v>
      </c>
      <c r="M184" s="1097"/>
      <c r="N184" s="255"/>
    </row>
    <row r="185" spans="2:14">
      <c r="B185" s="161" t="s">
        <v>106</v>
      </c>
      <c r="C185" s="258"/>
      <c r="E185" s="136"/>
      <c r="F185" s="136"/>
      <c r="G185" s="136"/>
      <c r="H185" s="136"/>
      <c r="I185" s="136"/>
      <c r="J185" s="136"/>
      <c r="K185" s="136"/>
      <c r="L185" s="1090"/>
      <c r="M185" s="1090"/>
      <c r="N185" s="255"/>
    </row>
    <row r="186" spans="2:14">
      <c r="B186" s="9" t="s">
        <v>107</v>
      </c>
      <c r="C186" s="209"/>
      <c r="D186" s="163">
        <v>0.2</v>
      </c>
      <c r="E186" s="135"/>
      <c r="F186" s="135"/>
      <c r="G186" s="135"/>
      <c r="H186" s="1102">
        <f>H184*D186</f>
        <v>2272508.3865180798</v>
      </c>
      <c r="I186" s="1102"/>
      <c r="J186" s="1097">
        <f>J184*D186</f>
        <v>748763.39389408007</v>
      </c>
      <c r="K186" s="1097"/>
      <c r="L186" s="1097"/>
      <c r="M186" s="1097"/>
    </row>
    <row r="187" spans="2:14">
      <c r="C187" s="253"/>
      <c r="E187" s="135"/>
      <c r="F187" s="135"/>
      <c r="G187" s="135"/>
      <c r="H187" s="164"/>
      <c r="I187" s="136"/>
      <c r="J187" s="135"/>
      <c r="K187" s="150"/>
      <c r="L187" s="150"/>
      <c r="M187" s="150"/>
    </row>
    <row r="188" spans="2:14">
      <c r="B188" s="9" t="s">
        <v>533</v>
      </c>
      <c r="C188" s="209"/>
      <c r="D188" s="159"/>
      <c r="E188" s="135"/>
      <c r="F188" s="135"/>
      <c r="G188" s="135"/>
      <c r="H188" s="1091">
        <f>H184-H186</f>
        <v>9090033.5460723191</v>
      </c>
      <c r="I188" s="1091"/>
      <c r="J188" s="1103">
        <f>J184-J186</f>
        <v>2995053.5755763203</v>
      </c>
      <c r="K188" s="1103"/>
      <c r="L188" s="1097">
        <f>H188+J188</f>
        <v>12085087.121648639</v>
      </c>
      <c r="M188" s="1097"/>
      <c r="N188" s="255"/>
    </row>
    <row r="189" spans="2:14">
      <c r="B189" s="9"/>
      <c r="C189" s="209"/>
      <c r="D189" s="159"/>
      <c r="E189" s="135"/>
      <c r="F189" s="135"/>
      <c r="G189" s="135"/>
      <c r="H189" s="140"/>
      <c r="I189" s="140"/>
      <c r="J189" s="162"/>
      <c r="K189" s="162"/>
      <c r="L189" s="162"/>
      <c r="M189" s="162"/>
      <c r="N189" s="255"/>
    </row>
    <row r="190" spans="2:14">
      <c r="B190" s="9"/>
      <c r="C190" s="209"/>
      <c r="D190" s="159"/>
      <c r="E190" s="135"/>
      <c r="F190" s="135"/>
      <c r="G190" s="135"/>
      <c r="H190" s="164"/>
      <c r="I190" s="136"/>
      <c r="J190" s="135"/>
      <c r="K190" s="150"/>
      <c r="L190" s="150"/>
      <c r="M190" s="150"/>
      <c r="N190" s="255"/>
    </row>
    <row r="191" spans="2:14">
      <c r="B191" s="9"/>
      <c r="C191" s="1085" t="s">
        <v>109</v>
      </c>
      <c r="D191" s="1085"/>
      <c r="E191" s="1085"/>
      <c r="F191" s="127"/>
      <c r="G191" s="1085" t="s">
        <v>110</v>
      </c>
      <c r="H191" s="1085"/>
      <c r="I191" s="1085"/>
      <c r="J191" s="127"/>
      <c r="K191" s="1085" t="s">
        <v>111</v>
      </c>
      <c r="L191" s="1085"/>
      <c r="M191" s="1085"/>
      <c r="N191" s="255"/>
    </row>
    <row r="192" spans="2:14">
      <c r="B192" s="9"/>
      <c r="C192" s="5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255"/>
    </row>
    <row r="193" spans="2:14">
      <c r="B193" s="127"/>
      <c r="C193" s="1085" t="s">
        <v>112</v>
      </c>
      <c r="D193" s="1085"/>
      <c r="E193" s="1085"/>
      <c r="F193" s="127"/>
      <c r="G193" s="127"/>
      <c r="H193" s="127" t="s">
        <v>113</v>
      </c>
      <c r="I193" s="127"/>
      <c r="J193" s="127"/>
      <c r="K193" s="143" t="s">
        <v>114</v>
      </c>
      <c r="L193" s="143"/>
      <c r="N193" s="255"/>
    </row>
    <row r="194" spans="2:14">
      <c r="B194" s="127"/>
      <c r="C194" s="1085" t="s">
        <v>115</v>
      </c>
      <c r="D194" s="1085"/>
      <c r="E194" s="1085"/>
      <c r="F194" s="127"/>
      <c r="G194" s="127"/>
      <c r="H194" s="127" t="s">
        <v>116</v>
      </c>
      <c r="I194" s="127"/>
      <c r="J194" s="127"/>
      <c r="K194" s="127" t="s">
        <v>117</v>
      </c>
      <c r="L194" s="127"/>
      <c r="M194" s="159"/>
      <c r="N194" s="143"/>
    </row>
    <row r="195" spans="2:14">
      <c r="C195" s="253"/>
    </row>
    <row r="196" spans="2:14">
      <c r="C196" s="253"/>
    </row>
  </sheetData>
  <mergeCells count="87">
    <mergeCell ref="C193:E193"/>
    <mergeCell ref="C194:E194"/>
    <mergeCell ref="H188:I188"/>
    <mergeCell ref="J188:K188"/>
    <mergeCell ref="L188:M188"/>
    <mergeCell ref="C191:E191"/>
    <mergeCell ref="G191:I191"/>
    <mergeCell ref="K191:M191"/>
    <mergeCell ref="H186:I186"/>
    <mergeCell ref="J186:K186"/>
    <mergeCell ref="L186:M186"/>
    <mergeCell ref="E182:F182"/>
    <mergeCell ref="H182:I182"/>
    <mergeCell ref="J182:K182"/>
    <mergeCell ref="L182:M182"/>
    <mergeCell ref="E183:F183"/>
    <mergeCell ref="H183:I183"/>
    <mergeCell ref="J183:K183"/>
    <mergeCell ref="L183:M183"/>
    <mergeCell ref="E184:F184"/>
    <mergeCell ref="H184:I184"/>
    <mergeCell ref="J184:K184"/>
    <mergeCell ref="L184:M184"/>
    <mergeCell ref="L185:M185"/>
    <mergeCell ref="E179:F179"/>
    <mergeCell ref="J179:K179"/>
    <mergeCell ref="L179:M179"/>
    <mergeCell ref="E180:F180"/>
    <mergeCell ref="J180:K180"/>
    <mergeCell ref="L180:M180"/>
    <mergeCell ref="L178:M178"/>
    <mergeCell ref="E175:F175"/>
    <mergeCell ref="H175:I175"/>
    <mergeCell ref="J175:K175"/>
    <mergeCell ref="L175:M175"/>
    <mergeCell ref="E176:F176"/>
    <mergeCell ref="H176:I176"/>
    <mergeCell ref="J176:K176"/>
    <mergeCell ref="L176:M176"/>
    <mergeCell ref="E177:F177"/>
    <mergeCell ref="H177:I177"/>
    <mergeCell ref="E178:F178"/>
    <mergeCell ref="H178:I178"/>
    <mergeCell ref="J178:K178"/>
    <mergeCell ref="E173:F173"/>
    <mergeCell ref="H173:I173"/>
    <mergeCell ref="J173:K173"/>
    <mergeCell ref="L173:M173"/>
    <mergeCell ref="E174:F174"/>
    <mergeCell ref="H174:I174"/>
    <mergeCell ref="J174:K174"/>
    <mergeCell ref="L174:M174"/>
    <mergeCell ref="E171:F171"/>
    <mergeCell ref="H171:I171"/>
    <mergeCell ref="J171:K171"/>
    <mergeCell ref="L171:M171"/>
    <mergeCell ref="E172:F172"/>
    <mergeCell ref="H172:I172"/>
    <mergeCell ref="J172:K172"/>
    <mergeCell ref="L172:M172"/>
    <mergeCell ref="E169:F169"/>
    <mergeCell ref="H169:I169"/>
    <mergeCell ref="J169:K169"/>
    <mergeCell ref="L169:M169"/>
    <mergeCell ref="E170:F170"/>
    <mergeCell ref="H170:I170"/>
    <mergeCell ref="J170:K170"/>
    <mergeCell ref="L170:M170"/>
    <mergeCell ref="H168:I168"/>
    <mergeCell ref="B158:N158"/>
    <mergeCell ref="B159:N159"/>
    <mergeCell ref="C160:I160"/>
    <mergeCell ref="E165:F165"/>
    <mergeCell ref="H165:I165"/>
    <mergeCell ref="J165:K165"/>
    <mergeCell ref="L165:M165"/>
    <mergeCell ref="E166:F166"/>
    <mergeCell ref="H166:I166"/>
    <mergeCell ref="J166:K166"/>
    <mergeCell ref="L166:M166"/>
    <mergeCell ref="H167:I167"/>
    <mergeCell ref="A4:M4"/>
    <mergeCell ref="A5:M5"/>
    <mergeCell ref="C7:I7"/>
    <mergeCell ref="A11:F11"/>
    <mergeCell ref="G11:J11"/>
    <mergeCell ref="K11:M11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1D419-2B77-444B-884C-3F2F94C06700}">
  <sheetPr codeName="Hoja2"/>
  <dimension ref="A3:N190"/>
  <sheetViews>
    <sheetView topLeftCell="A146" workbookViewId="0">
      <selection activeCell="E175" sqref="E175"/>
    </sheetView>
  </sheetViews>
  <sheetFormatPr baseColWidth="10" defaultRowHeight="15"/>
  <cols>
    <col min="2" max="2" width="32.85546875" bestFit="1" customWidth="1"/>
    <col min="4" max="4" width="13.7109375" customWidth="1"/>
    <col min="6" max="6" width="16.85546875" customWidth="1"/>
    <col min="11" max="11" width="12.5703125" bestFit="1" customWidth="1"/>
    <col min="13" max="13" width="15" customWidth="1"/>
    <col min="14" max="14" width="15.42578125" customWidth="1"/>
  </cols>
  <sheetData>
    <row r="3" spans="1:13">
      <c r="A3" s="1085" t="s">
        <v>0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</row>
    <row r="4" spans="1:13">
      <c r="A4" s="1079" t="s">
        <v>1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</row>
    <row r="5" spans="1:13">
      <c r="A5" s="2"/>
      <c r="C5" s="170"/>
      <c r="D5" s="2"/>
      <c r="E5" s="2"/>
      <c r="F5" s="2"/>
      <c r="G5" s="2"/>
      <c r="H5" s="2"/>
      <c r="I5" s="2"/>
      <c r="J5" s="2"/>
      <c r="K5" s="2"/>
      <c r="L5" s="2"/>
      <c r="M5" s="159" t="s">
        <v>2</v>
      </c>
    </row>
    <row r="6" spans="1:13">
      <c r="A6" s="7"/>
      <c r="B6" s="5" t="s">
        <v>3</v>
      </c>
      <c r="C6" s="1081" t="s">
        <v>118</v>
      </c>
      <c r="D6" s="1081"/>
      <c r="E6" s="1081"/>
      <c r="F6" s="1081"/>
      <c r="G6" s="1081"/>
      <c r="H6" s="1081"/>
      <c r="I6" s="1081"/>
      <c r="J6" s="7"/>
      <c r="K6" s="7"/>
      <c r="L6" s="5" t="s">
        <v>5</v>
      </c>
      <c r="M6" s="131">
        <v>19236531.640000001</v>
      </c>
    </row>
    <row r="7" spans="1:13">
      <c r="A7" s="7"/>
      <c r="B7" s="5" t="s">
        <v>7</v>
      </c>
      <c r="C7" s="9">
        <v>2</v>
      </c>
      <c r="D7" s="7"/>
      <c r="E7" s="10"/>
      <c r="F7" s="10"/>
      <c r="G7" s="10"/>
      <c r="H7" s="171"/>
      <c r="I7" s="7"/>
      <c r="J7" s="7"/>
      <c r="K7" s="7"/>
      <c r="L7" s="5" t="s">
        <v>8</v>
      </c>
      <c r="M7" s="131">
        <f>M6*0.2</f>
        <v>3847306.3280000002</v>
      </c>
    </row>
    <row r="8" spans="1:13">
      <c r="A8" s="7"/>
      <c r="B8" s="5" t="s">
        <v>9</v>
      </c>
      <c r="C8" s="172" t="s">
        <v>119</v>
      </c>
      <c r="D8" s="10"/>
      <c r="E8" s="10"/>
      <c r="F8" s="10"/>
      <c r="G8" s="11"/>
      <c r="H8" s="173"/>
      <c r="I8" s="7"/>
      <c r="J8" s="7"/>
      <c r="K8" s="7"/>
      <c r="L8" s="5" t="s">
        <v>12</v>
      </c>
      <c r="M8" s="132" t="s">
        <v>120</v>
      </c>
    </row>
    <row r="9" spans="1:13">
      <c r="A9" s="7"/>
      <c r="B9" s="5" t="s">
        <v>14</v>
      </c>
      <c r="C9" s="9" t="s">
        <v>121</v>
      </c>
      <c r="D9" s="10"/>
      <c r="E9" s="10"/>
      <c r="F9" s="10"/>
      <c r="H9" s="7"/>
      <c r="I9" s="7"/>
      <c r="J9" s="7"/>
      <c r="K9" s="7"/>
      <c r="L9" s="7"/>
      <c r="M9" s="7"/>
    </row>
    <row r="10" spans="1:13">
      <c r="A10" s="1082" t="s">
        <v>16</v>
      </c>
      <c r="B10" s="1082"/>
      <c r="C10" s="1082"/>
      <c r="D10" s="1082"/>
      <c r="E10" s="1082"/>
      <c r="F10" s="1082"/>
      <c r="G10" s="1083" t="s">
        <v>17</v>
      </c>
      <c r="H10" s="1083"/>
      <c r="I10" s="1083"/>
      <c r="J10" s="1083"/>
      <c r="K10" s="1084" t="s">
        <v>18</v>
      </c>
      <c r="L10" s="1084"/>
      <c r="M10" s="1084"/>
    </row>
    <row r="11" spans="1:13">
      <c r="A11" s="14" t="s">
        <v>19</v>
      </c>
      <c r="B11" s="15" t="s">
        <v>20</v>
      </c>
      <c r="C11" s="15" t="s">
        <v>21</v>
      </c>
      <c r="D11" s="15" t="s">
        <v>22</v>
      </c>
      <c r="E11" s="16" t="s">
        <v>23</v>
      </c>
      <c r="F11" s="16" t="s">
        <v>24</v>
      </c>
      <c r="G11" s="17" t="s">
        <v>25</v>
      </c>
      <c r="H11" s="17" t="s">
        <v>26</v>
      </c>
      <c r="I11" s="18" t="s">
        <v>27</v>
      </c>
      <c r="J11" s="19" t="s">
        <v>28</v>
      </c>
      <c r="K11" s="20" t="s">
        <v>25</v>
      </c>
      <c r="L11" s="21" t="s">
        <v>26</v>
      </c>
      <c r="M11" s="21" t="s">
        <v>27</v>
      </c>
    </row>
    <row r="12" spans="1:13">
      <c r="A12" s="14" t="s">
        <v>29</v>
      </c>
      <c r="B12" s="15" t="s">
        <v>122</v>
      </c>
      <c r="C12" s="174"/>
      <c r="D12" s="15"/>
      <c r="E12" s="16"/>
      <c r="F12" s="16"/>
      <c r="G12" s="17"/>
      <c r="H12" s="17"/>
      <c r="I12" s="18"/>
      <c r="J12" s="19"/>
      <c r="K12" s="20"/>
      <c r="L12" s="21"/>
      <c r="M12" s="21"/>
    </row>
    <row r="13" spans="1:13">
      <c r="A13" s="175">
        <v>1</v>
      </c>
      <c r="B13" s="42" t="s">
        <v>123</v>
      </c>
      <c r="C13" s="89"/>
      <c r="D13" s="77"/>
      <c r="E13" s="37"/>
      <c r="F13" s="37"/>
      <c r="G13" s="176"/>
      <c r="H13" s="27"/>
      <c r="I13" s="28"/>
      <c r="J13" s="29"/>
      <c r="K13" s="30"/>
      <c r="L13" s="31"/>
      <c r="M13" s="31"/>
    </row>
    <row r="14" spans="1:13">
      <c r="A14" s="177">
        <v>1.01</v>
      </c>
      <c r="B14" s="33" t="s">
        <v>124</v>
      </c>
      <c r="C14" s="89" t="s">
        <v>38</v>
      </c>
      <c r="D14" s="37">
        <v>1500</v>
      </c>
      <c r="E14" s="37">
        <f>+F14/D14</f>
        <v>143.48952</v>
      </c>
      <c r="F14" s="178">
        <v>215234.28</v>
      </c>
      <c r="G14" s="176"/>
      <c r="H14" s="27"/>
      <c r="I14" s="38"/>
      <c r="J14" s="39"/>
      <c r="K14" s="44"/>
      <c r="L14" s="63"/>
      <c r="M14" s="31"/>
    </row>
    <row r="15" spans="1:13">
      <c r="A15" s="177"/>
      <c r="B15" s="42" t="s">
        <v>39</v>
      </c>
      <c r="C15" s="89"/>
      <c r="D15" s="37"/>
      <c r="E15" s="37"/>
      <c r="F15" s="179">
        <f>F14</f>
        <v>215234.28</v>
      </c>
      <c r="G15" s="176"/>
      <c r="H15" s="27"/>
      <c r="I15" s="38"/>
      <c r="J15" s="39"/>
      <c r="K15" s="44"/>
      <c r="L15" s="41"/>
      <c r="M15" s="31"/>
    </row>
    <row r="16" spans="1:13">
      <c r="A16" s="180">
        <v>2</v>
      </c>
      <c r="B16" s="59" t="s">
        <v>40</v>
      </c>
      <c r="C16" s="89"/>
      <c r="D16" s="37"/>
      <c r="E16" s="37"/>
      <c r="F16" s="37"/>
      <c r="G16" s="176"/>
      <c r="H16" s="27"/>
      <c r="I16" s="38"/>
      <c r="J16" s="39"/>
      <c r="K16" s="44"/>
      <c r="L16" s="41"/>
      <c r="M16" s="31"/>
    </row>
    <row r="17" spans="1:13" ht="24.75">
      <c r="A17" s="177">
        <v>2.0099999999999998</v>
      </c>
      <c r="B17" s="58" t="s">
        <v>125</v>
      </c>
      <c r="C17" s="89" t="s">
        <v>38</v>
      </c>
      <c r="D17" s="37">
        <v>1575</v>
      </c>
      <c r="E17" s="37">
        <f>+F17/D17</f>
        <v>5012.3466412698408</v>
      </c>
      <c r="F17" s="181">
        <v>7894445.96</v>
      </c>
      <c r="G17" s="176"/>
      <c r="H17" s="27"/>
      <c r="I17" s="38"/>
      <c r="J17" s="39"/>
      <c r="K17" s="47"/>
      <c r="L17" s="63"/>
      <c r="M17" s="64"/>
    </row>
    <row r="18" spans="1:13">
      <c r="A18" s="177"/>
      <c r="B18" s="42" t="s">
        <v>39</v>
      </c>
      <c r="C18" s="89"/>
      <c r="D18" s="37"/>
      <c r="E18" s="37"/>
      <c r="F18" s="179">
        <f>F17</f>
        <v>7894445.96</v>
      </c>
      <c r="G18" s="176"/>
      <c r="H18" s="27"/>
      <c r="I18" s="38"/>
      <c r="J18" s="39"/>
      <c r="K18" s="44"/>
      <c r="L18" s="41"/>
      <c r="M18" s="31"/>
    </row>
    <row r="19" spans="1:13">
      <c r="A19" s="177">
        <v>3</v>
      </c>
      <c r="B19" s="33" t="s">
        <v>43</v>
      </c>
      <c r="C19" s="89"/>
      <c r="D19" s="37"/>
      <c r="E19" s="37"/>
      <c r="F19" s="37"/>
      <c r="G19" s="176"/>
      <c r="H19" s="27"/>
      <c r="I19" s="38"/>
      <c r="J19" s="39"/>
      <c r="K19" s="44"/>
      <c r="L19" s="41"/>
      <c r="M19" s="31"/>
    </row>
    <row r="20" spans="1:13">
      <c r="A20" s="177">
        <v>3.01</v>
      </c>
      <c r="B20" s="33" t="s">
        <v>44</v>
      </c>
      <c r="C20" s="89" t="s">
        <v>45</v>
      </c>
      <c r="D20" s="37">
        <v>1657.5</v>
      </c>
      <c r="E20" s="37">
        <f t="shared" ref="E20:E23" si="0">+F20/D20</f>
        <v>562.31070286576164</v>
      </c>
      <c r="F20" s="37">
        <v>932029.99</v>
      </c>
      <c r="G20" s="176"/>
      <c r="H20" s="27"/>
      <c r="I20" s="38"/>
      <c r="J20" s="39"/>
      <c r="K20" s="44"/>
      <c r="L20" s="41"/>
      <c r="M20" s="31"/>
    </row>
    <row r="21" spans="1:13">
      <c r="A21" s="177">
        <v>3.02</v>
      </c>
      <c r="B21" s="33" t="s">
        <v>46</v>
      </c>
      <c r="C21" s="89" t="s">
        <v>45</v>
      </c>
      <c r="D21" s="37">
        <v>127.5</v>
      </c>
      <c r="E21" s="37">
        <f t="shared" si="0"/>
        <v>2715.8214117647058</v>
      </c>
      <c r="F21" s="37">
        <v>346267.23</v>
      </c>
      <c r="G21" s="176"/>
      <c r="H21" s="27"/>
      <c r="I21" s="38"/>
      <c r="J21" s="39"/>
      <c r="K21" s="44"/>
      <c r="L21" s="41"/>
      <c r="M21" s="31"/>
    </row>
    <row r="22" spans="1:13">
      <c r="A22" s="177">
        <v>3.03</v>
      </c>
      <c r="B22" s="33" t="s">
        <v>126</v>
      </c>
      <c r="C22" s="89" t="s">
        <v>45</v>
      </c>
      <c r="D22" s="37">
        <v>265.2</v>
      </c>
      <c r="E22" s="37">
        <f t="shared" si="0"/>
        <v>504.28497360482658</v>
      </c>
      <c r="F22" s="37">
        <v>133736.375</v>
      </c>
      <c r="G22" s="176"/>
      <c r="H22" s="27"/>
      <c r="I22" s="38"/>
      <c r="J22" s="39"/>
      <c r="K22" s="44"/>
      <c r="L22" s="41"/>
      <c r="M22" s="31"/>
    </row>
    <row r="23" spans="1:13" ht="24.75">
      <c r="A23" s="177">
        <v>3.04</v>
      </c>
      <c r="B23" s="33" t="s">
        <v>48</v>
      </c>
      <c r="C23" s="89" t="s">
        <v>45</v>
      </c>
      <c r="D23" s="37">
        <v>1453.5</v>
      </c>
      <c r="E23" s="37">
        <f t="shared" si="0"/>
        <v>719.98435844513244</v>
      </c>
      <c r="F23" s="37">
        <v>1046497.265</v>
      </c>
      <c r="G23" s="176"/>
      <c r="H23" s="27"/>
      <c r="I23" s="38"/>
      <c r="J23" s="39"/>
      <c r="K23" s="44"/>
      <c r="L23" s="41"/>
      <c r="M23" s="31"/>
    </row>
    <row r="24" spans="1:13">
      <c r="A24" s="175"/>
      <c r="B24" s="182" t="s">
        <v>66</v>
      </c>
      <c r="C24" s="89"/>
      <c r="D24" s="37"/>
      <c r="E24" s="37"/>
      <c r="F24" s="179">
        <f>SUM(F20:F23)</f>
        <v>2458530.86</v>
      </c>
      <c r="G24" s="176"/>
      <c r="H24" s="27"/>
      <c r="I24" s="38"/>
      <c r="J24" s="39"/>
      <c r="K24" s="47"/>
      <c r="L24" s="63"/>
      <c r="M24" s="64"/>
    </row>
    <row r="25" spans="1:13">
      <c r="A25" s="183">
        <v>4</v>
      </c>
      <c r="B25" s="42" t="s">
        <v>127</v>
      </c>
      <c r="C25" s="184"/>
      <c r="D25" s="37"/>
      <c r="E25" s="37"/>
      <c r="F25" s="37"/>
      <c r="G25" s="176"/>
      <c r="H25" s="27"/>
      <c r="I25" s="38"/>
      <c r="J25" s="39"/>
      <c r="K25" s="44"/>
      <c r="L25" s="41"/>
      <c r="M25" s="31"/>
    </row>
    <row r="26" spans="1:13" ht="24.75">
      <c r="A26" s="177">
        <v>4.01</v>
      </c>
      <c r="B26" s="58" t="s">
        <v>128</v>
      </c>
      <c r="C26" s="89" t="s">
        <v>52</v>
      </c>
      <c r="D26" s="37">
        <v>14</v>
      </c>
      <c r="E26" s="37">
        <f t="shared" ref="E26" si="1">+F26/D26</f>
        <v>5322.329285714286</v>
      </c>
      <c r="F26" s="110">
        <v>74512.61</v>
      </c>
      <c r="G26" s="176"/>
      <c r="H26" s="27"/>
      <c r="I26" s="38"/>
      <c r="J26" s="39"/>
      <c r="K26" s="44"/>
      <c r="L26" s="41"/>
      <c r="M26" s="31"/>
    </row>
    <row r="27" spans="1:13">
      <c r="A27" s="177"/>
      <c r="B27" s="42" t="s">
        <v>66</v>
      </c>
      <c r="C27" s="82"/>
      <c r="D27" s="43"/>
      <c r="E27" s="185"/>
      <c r="F27" s="179">
        <f>F26</f>
        <v>74512.61</v>
      </c>
      <c r="G27" s="176"/>
      <c r="H27" s="27"/>
      <c r="I27" s="38"/>
      <c r="J27" s="39"/>
      <c r="K27" s="47"/>
      <c r="L27" s="63"/>
      <c r="M27" s="64"/>
    </row>
    <row r="28" spans="1:13">
      <c r="A28" s="180" t="s">
        <v>34</v>
      </c>
      <c r="B28" s="42" t="s">
        <v>129</v>
      </c>
      <c r="C28" s="89"/>
      <c r="D28" s="37"/>
      <c r="E28" s="110"/>
      <c r="F28" s="110"/>
      <c r="G28" s="176"/>
      <c r="H28" s="27"/>
      <c r="I28" s="38"/>
      <c r="J28" s="39"/>
      <c r="K28" s="44"/>
      <c r="L28" s="41"/>
      <c r="M28" s="31"/>
    </row>
    <row r="29" spans="1:13">
      <c r="A29" s="177">
        <v>1</v>
      </c>
      <c r="B29" s="33" t="s">
        <v>123</v>
      </c>
      <c r="C29" s="89"/>
      <c r="D29" s="37"/>
      <c r="E29" s="110"/>
      <c r="F29" s="110"/>
      <c r="G29" s="176"/>
      <c r="H29" s="27"/>
      <c r="I29" s="38"/>
      <c r="J29" s="39"/>
      <c r="K29" s="44"/>
      <c r="L29" s="41"/>
      <c r="M29" s="31"/>
    </row>
    <row r="30" spans="1:13">
      <c r="A30" s="177">
        <v>1.01</v>
      </c>
      <c r="B30" s="33" t="s">
        <v>124</v>
      </c>
      <c r="C30" s="89" t="s">
        <v>38</v>
      </c>
      <c r="D30" s="37">
        <v>550</v>
      </c>
      <c r="E30" s="37">
        <f t="shared" ref="E30" si="2">+F30/D30</f>
        <v>143.12587272727271</v>
      </c>
      <c r="F30" s="110">
        <v>78719.23</v>
      </c>
      <c r="G30" s="176"/>
      <c r="H30" s="27"/>
      <c r="I30" s="38"/>
      <c r="J30" s="39"/>
      <c r="K30" s="44"/>
      <c r="L30" s="41"/>
      <c r="M30" s="31"/>
    </row>
    <row r="31" spans="1:13">
      <c r="A31" s="177"/>
      <c r="B31" s="59" t="s">
        <v>39</v>
      </c>
      <c r="C31" s="89"/>
      <c r="D31" s="37"/>
      <c r="E31" s="110"/>
      <c r="F31" s="179">
        <f>F30</f>
        <v>78719.23</v>
      </c>
      <c r="G31" s="176"/>
      <c r="H31" s="27"/>
      <c r="I31" s="38"/>
      <c r="J31" s="39"/>
      <c r="K31" s="44"/>
      <c r="L31" s="41"/>
      <c r="M31" s="31"/>
    </row>
    <row r="32" spans="1:13">
      <c r="A32" s="73">
        <v>2</v>
      </c>
      <c r="B32" s="58" t="s">
        <v>40</v>
      </c>
      <c r="C32" s="89"/>
      <c r="D32" s="78"/>
      <c r="E32" s="186"/>
      <c r="F32" s="110"/>
      <c r="G32" s="187"/>
      <c r="H32" s="38"/>
      <c r="I32" s="38"/>
      <c r="J32" s="39"/>
      <c r="K32" s="44"/>
      <c r="L32" s="41"/>
      <c r="M32" s="31"/>
    </row>
    <row r="33" spans="1:13" ht="24.75">
      <c r="A33" s="73">
        <v>2.0099999999999998</v>
      </c>
      <c r="B33" s="58" t="s">
        <v>130</v>
      </c>
      <c r="C33" s="184" t="s">
        <v>38</v>
      </c>
      <c r="D33" s="37">
        <v>577.5</v>
      </c>
      <c r="E33" s="37">
        <f t="shared" ref="E33" si="3">+F33/D33</f>
        <v>2605.7667878787879</v>
      </c>
      <c r="F33" s="110">
        <v>1504830.32</v>
      </c>
      <c r="G33" s="187"/>
      <c r="H33" s="38"/>
      <c r="I33" s="38"/>
      <c r="J33" s="39"/>
      <c r="K33" s="44"/>
      <c r="L33" s="41"/>
      <c r="M33" s="31"/>
    </row>
    <row r="34" spans="1:13">
      <c r="A34" s="73"/>
      <c r="B34" s="59" t="s">
        <v>39</v>
      </c>
      <c r="C34" s="184"/>
      <c r="D34" s="37"/>
      <c r="E34" s="110"/>
      <c r="F34" s="179">
        <f>F33</f>
        <v>1504830.32</v>
      </c>
      <c r="G34" s="187"/>
      <c r="H34" s="38"/>
      <c r="I34" s="38"/>
      <c r="J34" s="39"/>
      <c r="K34" s="44"/>
      <c r="L34" s="41"/>
      <c r="M34" s="31"/>
    </row>
    <row r="35" spans="1:13">
      <c r="A35" s="84">
        <v>3</v>
      </c>
      <c r="B35" s="59" t="s">
        <v>43</v>
      </c>
      <c r="C35" s="184"/>
      <c r="D35" s="37"/>
      <c r="E35" s="110"/>
      <c r="F35" s="110"/>
      <c r="G35" s="187"/>
      <c r="H35" s="38"/>
      <c r="I35" s="38"/>
      <c r="J35" s="39"/>
      <c r="K35" s="44"/>
      <c r="L35" s="41"/>
      <c r="M35" s="31"/>
    </row>
    <row r="36" spans="1:13">
      <c r="A36" s="73">
        <v>3.01</v>
      </c>
      <c r="B36" s="37" t="s">
        <v>44</v>
      </c>
      <c r="C36" s="184" t="s">
        <v>45</v>
      </c>
      <c r="D36" s="37">
        <v>495</v>
      </c>
      <c r="E36" s="37">
        <f t="shared" ref="E36:E54" si="4">+F36/D36</f>
        <v>562.31070707070705</v>
      </c>
      <c r="F36" s="110">
        <v>278343.8</v>
      </c>
      <c r="G36" s="176"/>
      <c r="H36" s="27"/>
      <c r="I36" s="38"/>
      <c r="J36" s="39"/>
      <c r="K36" s="44"/>
      <c r="L36" s="41"/>
      <c r="M36" s="31"/>
    </row>
    <row r="37" spans="1:13">
      <c r="A37" s="73">
        <v>3.02</v>
      </c>
      <c r="B37" s="33" t="s">
        <v>46</v>
      </c>
      <c r="C37" s="89" t="s">
        <v>45</v>
      </c>
      <c r="D37" s="188">
        <v>43.31</v>
      </c>
      <c r="E37" s="37">
        <f t="shared" si="4"/>
        <v>2715.8212883860538</v>
      </c>
      <c r="F37" s="110">
        <v>117622.22</v>
      </c>
      <c r="G37" s="176"/>
      <c r="H37" s="27"/>
      <c r="I37" s="74"/>
      <c r="J37" s="75"/>
      <c r="K37" s="47"/>
      <c r="L37" s="63"/>
      <c r="M37" s="64"/>
    </row>
    <row r="38" spans="1:13">
      <c r="A38" s="73">
        <v>3.03</v>
      </c>
      <c r="B38" s="58" t="s">
        <v>126</v>
      </c>
      <c r="C38" s="89" t="s">
        <v>45</v>
      </c>
      <c r="D38" s="78">
        <v>85.67</v>
      </c>
      <c r="E38" s="37">
        <f t="shared" si="4"/>
        <v>504.2850472744251</v>
      </c>
      <c r="F38" s="110">
        <v>43202.1</v>
      </c>
      <c r="G38" s="176"/>
      <c r="H38" s="27"/>
      <c r="I38" s="74"/>
      <c r="J38" s="75"/>
      <c r="K38" s="44"/>
      <c r="L38" s="41"/>
      <c r="M38" s="31"/>
    </row>
    <row r="39" spans="1:13" ht="24.75">
      <c r="A39" s="73">
        <v>3.04</v>
      </c>
      <c r="B39" s="58" t="s">
        <v>48</v>
      </c>
      <c r="C39" s="89" t="s">
        <v>45</v>
      </c>
      <c r="D39" s="78">
        <v>429.1</v>
      </c>
      <c r="E39" s="37">
        <f t="shared" si="4"/>
        <v>719.98436261943596</v>
      </c>
      <c r="F39" s="110">
        <v>308945.28999999998</v>
      </c>
      <c r="G39" s="176"/>
      <c r="H39" s="27"/>
      <c r="I39" s="38"/>
      <c r="J39" s="39"/>
      <c r="K39" s="44"/>
      <c r="L39" s="41"/>
      <c r="M39" s="31"/>
    </row>
    <row r="40" spans="1:13">
      <c r="A40" s="73"/>
      <c r="B40" s="59" t="s">
        <v>39</v>
      </c>
      <c r="C40" s="82"/>
      <c r="D40" s="81"/>
      <c r="E40" s="37"/>
      <c r="F40" s="179">
        <f>SUM(F36:F39)</f>
        <v>748113.40999999992</v>
      </c>
      <c r="G40" s="176"/>
      <c r="H40" s="27"/>
      <c r="I40" s="27"/>
      <c r="J40" s="27"/>
      <c r="K40" s="44"/>
      <c r="L40" s="41"/>
      <c r="M40" s="31"/>
    </row>
    <row r="41" spans="1:13">
      <c r="A41" s="84">
        <v>4</v>
      </c>
      <c r="B41" s="59" t="s">
        <v>131</v>
      </c>
      <c r="C41" s="184"/>
      <c r="D41" s="37"/>
      <c r="E41" s="37"/>
      <c r="F41" s="110"/>
      <c r="G41" s="187"/>
      <c r="H41" s="38"/>
      <c r="I41" s="38"/>
      <c r="J41" s="39"/>
      <c r="K41" s="44"/>
      <c r="L41" s="41"/>
      <c r="M41" s="31"/>
    </row>
    <row r="42" spans="1:13" ht="24.75">
      <c r="A42" s="73">
        <v>4.01</v>
      </c>
      <c r="B42" s="58" t="s">
        <v>132</v>
      </c>
      <c r="C42" s="184" t="s">
        <v>52</v>
      </c>
      <c r="D42" s="37">
        <v>8</v>
      </c>
      <c r="E42" s="37">
        <f t="shared" si="4"/>
        <v>4768.1724999999997</v>
      </c>
      <c r="F42" s="110">
        <v>38145.379999999997</v>
      </c>
      <c r="G42" s="187"/>
      <c r="H42" s="38"/>
      <c r="I42" s="38"/>
      <c r="J42" s="39"/>
      <c r="K42" s="44"/>
      <c r="L42" s="41"/>
      <c r="M42" s="31"/>
    </row>
    <row r="43" spans="1:13">
      <c r="A43" s="73"/>
      <c r="B43" s="59" t="s">
        <v>39</v>
      </c>
      <c r="C43" s="184"/>
      <c r="D43" s="37"/>
      <c r="E43" s="37"/>
      <c r="F43" s="179">
        <f>F42</f>
        <v>38145.379999999997</v>
      </c>
      <c r="G43" s="176"/>
      <c r="H43" s="27"/>
      <c r="I43" s="38"/>
      <c r="J43" s="39"/>
      <c r="K43" s="44"/>
      <c r="L43" s="41"/>
      <c r="M43" s="31"/>
    </row>
    <row r="44" spans="1:13" ht="24.75">
      <c r="A44" s="183" t="s">
        <v>57</v>
      </c>
      <c r="B44" s="59" t="s">
        <v>133</v>
      </c>
      <c r="C44" s="184"/>
      <c r="D44" s="37"/>
      <c r="E44" s="37"/>
      <c r="F44" s="110"/>
      <c r="G44" s="189"/>
      <c r="H44" s="190"/>
      <c r="I44" s="38"/>
      <c r="J44" s="39"/>
      <c r="K44" s="44"/>
      <c r="L44" s="41"/>
      <c r="M44" s="31"/>
    </row>
    <row r="45" spans="1:13" ht="24.75">
      <c r="A45" s="73">
        <v>1</v>
      </c>
      <c r="B45" s="58" t="s">
        <v>134</v>
      </c>
      <c r="C45" s="184" t="s">
        <v>52</v>
      </c>
      <c r="D45" s="37">
        <v>8</v>
      </c>
      <c r="E45" s="37">
        <f t="shared" si="4"/>
        <v>2805</v>
      </c>
      <c r="F45" s="110">
        <v>22440</v>
      </c>
      <c r="G45" s="187"/>
      <c r="H45" s="38"/>
      <c r="I45" s="38"/>
      <c r="J45" s="39"/>
      <c r="K45" s="44"/>
      <c r="L45" s="41"/>
      <c r="M45" s="31"/>
    </row>
    <row r="46" spans="1:13" ht="24.75">
      <c r="A46" s="73">
        <v>2</v>
      </c>
      <c r="B46" s="58" t="s">
        <v>135</v>
      </c>
      <c r="C46" s="184" t="s">
        <v>52</v>
      </c>
      <c r="D46" s="37">
        <v>2</v>
      </c>
      <c r="E46" s="37">
        <f t="shared" si="4"/>
        <v>4590</v>
      </c>
      <c r="F46" s="110">
        <v>9180</v>
      </c>
      <c r="G46" s="187"/>
      <c r="H46" s="38"/>
      <c r="I46" s="38"/>
      <c r="J46" s="39"/>
      <c r="K46" s="44"/>
      <c r="L46" s="41"/>
      <c r="M46" s="31"/>
    </row>
    <row r="47" spans="1:13" ht="24.75">
      <c r="A47" s="73">
        <v>3</v>
      </c>
      <c r="B47" s="58" t="s">
        <v>136</v>
      </c>
      <c r="C47" s="184" t="s">
        <v>52</v>
      </c>
      <c r="D47" s="37">
        <v>14</v>
      </c>
      <c r="E47" s="37">
        <f t="shared" si="4"/>
        <v>3315</v>
      </c>
      <c r="F47" s="110">
        <v>46410</v>
      </c>
      <c r="G47" s="187"/>
      <c r="H47" s="38"/>
      <c r="I47" s="38"/>
      <c r="J47" s="39"/>
      <c r="K47" s="44"/>
      <c r="L47" s="41"/>
      <c r="M47" s="31"/>
    </row>
    <row r="48" spans="1:13" ht="24.75">
      <c r="A48" s="73">
        <v>4</v>
      </c>
      <c r="B48" s="58" t="s">
        <v>137</v>
      </c>
      <c r="C48" s="184" t="s">
        <v>52</v>
      </c>
      <c r="D48" s="37">
        <v>6</v>
      </c>
      <c r="E48" s="37">
        <f t="shared" si="4"/>
        <v>5610</v>
      </c>
      <c r="F48" s="110">
        <v>33660</v>
      </c>
      <c r="G48" s="187"/>
      <c r="H48" s="38"/>
      <c r="I48" s="38"/>
      <c r="J48" s="39"/>
      <c r="K48" s="44"/>
      <c r="L48" s="41"/>
      <c r="M48" s="31"/>
    </row>
    <row r="49" spans="1:13" ht="36.75">
      <c r="A49" s="73">
        <v>5</v>
      </c>
      <c r="B49" s="58" t="s">
        <v>138</v>
      </c>
      <c r="C49" s="184" t="s">
        <v>52</v>
      </c>
      <c r="D49" s="37">
        <v>4</v>
      </c>
      <c r="E49" s="37">
        <f t="shared" si="4"/>
        <v>13005</v>
      </c>
      <c r="F49" s="110">
        <v>52020</v>
      </c>
      <c r="G49" s="187"/>
      <c r="H49" s="38"/>
      <c r="I49" s="38"/>
      <c r="J49" s="39"/>
      <c r="K49" s="44"/>
      <c r="L49" s="41"/>
      <c r="M49" s="31"/>
    </row>
    <row r="50" spans="1:13">
      <c r="A50" s="73">
        <v>6</v>
      </c>
      <c r="B50" s="58" t="s">
        <v>139</v>
      </c>
      <c r="C50" s="184" t="s">
        <v>52</v>
      </c>
      <c r="D50" s="37">
        <v>20</v>
      </c>
      <c r="E50" s="37">
        <f t="shared" si="4"/>
        <v>9945</v>
      </c>
      <c r="F50" s="110">
        <v>198900</v>
      </c>
      <c r="G50" s="187"/>
      <c r="H50" s="38"/>
      <c r="I50" s="38"/>
      <c r="J50" s="39"/>
      <c r="K50" s="44"/>
      <c r="L50" s="41"/>
      <c r="M50" s="31"/>
    </row>
    <row r="51" spans="1:13">
      <c r="A51" s="73">
        <v>7</v>
      </c>
      <c r="B51" s="58" t="s">
        <v>140</v>
      </c>
      <c r="C51" s="184" t="s">
        <v>52</v>
      </c>
      <c r="D51" s="37">
        <v>40</v>
      </c>
      <c r="E51" s="37">
        <f t="shared" si="4"/>
        <v>16065</v>
      </c>
      <c r="F51" s="110">
        <v>642600</v>
      </c>
      <c r="G51" s="187"/>
      <c r="H51" s="38"/>
      <c r="I51" s="38"/>
      <c r="J51" s="39"/>
      <c r="K51" s="44"/>
      <c r="L51" s="41"/>
      <c r="M51" s="31"/>
    </row>
    <row r="52" spans="1:13">
      <c r="A52" s="188"/>
      <c r="B52" s="191" t="s">
        <v>39</v>
      </c>
      <c r="C52" s="184"/>
      <c r="D52" s="37"/>
      <c r="E52" s="37"/>
      <c r="F52" s="179">
        <f>SUM(F45:F51)</f>
        <v>1005210</v>
      </c>
      <c r="G52" s="187"/>
      <c r="H52" s="38"/>
      <c r="I52" s="38"/>
      <c r="J52" s="39"/>
      <c r="K52" s="44"/>
      <c r="L52" s="41"/>
      <c r="M52" s="31"/>
    </row>
    <row r="53" spans="1:13">
      <c r="A53" s="84" t="s">
        <v>67</v>
      </c>
      <c r="B53" s="59" t="s">
        <v>58</v>
      </c>
      <c r="C53" s="184"/>
      <c r="D53" s="37"/>
      <c r="E53" s="37"/>
      <c r="F53" s="110"/>
      <c r="G53" s="187"/>
      <c r="H53" s="38"/>
      <c r="I53" s="38"/>
      <c r="J53" s="39"/>
      <c r="K53" s="44"/>
      <c r="L53" s="41"/>
      <c r="M53" s="31"/>
    </row>
    <row r="54" spans="1:13" ht="36.75">
      <c r="A54" s="73">
        <v>1</v>
      </c>
      <c r="B54" s="58" t="s">
        <v>141</v>
      </c>
      <c r="C54" s="184" t="s">
        <v>52</v>
      </c>
      <c r="D54" s="37">
        <v>1</v>
      </c>
      <c r="E54" s="37">
        <f t="shared" si="4"/>
        <v>287575.99</v>
      </c>
      <c r="F54" s="110">
        <v>287575.99</v>
      </c>
      <c r="G54" s="187"/>
      <c r="H54" s="38"/>
      <c r="I54" s="38"/>
      <c r="J54" s="39"/>
      <c r="K54" s="44"/>
      <c r="L54" s="41"/>
      <c r="M54" s="31"/>
    </row>
    <row r="55" spans="1:13" ht="36.75">
      <c r="A55" s="73">
        <v>2</v>
      </c>
      <c r="B55" s="58" t="s">
        <v>142</v>
      </c>
      <c r="C55" s="184" t="s">
        <v>52</v>
      </c>
      <c r="D55" s="37">
        <v>1</v>
      </c>
      <c r="E55" s="110">
        <v>96293.81</v>
      </c>
      <c r="F55" s="110">
        <f t="shared" ref="F55:F57" si="5">D55*E55</f>
        <v>96293.81</v>
      </c>
      <c r="G55" s="187"/>
      <c r="H55" s="38"/>
      <c r="I55" s="38"/>
      <c r="J55" s="39"/>
      <c r="K55" s="44"/>
      <c r="L55" s="41"/>
      <c r="M55" s="31"/>
    </row>
    <row r="56" spans="1:13" ht="36.75">
      <c r="A56" s="73">
        <v>3</v>
      </c>
      <c r="B56" s="58" t="s">
        <v>143</v>
      </c>
      <c r="C56" s="184" t="s">
        <v>52</v>
      </c>
      <c r="D56" s="37">
        <v>1</v>
      </c>
      <c r="E56" s="110">
        <v>76473.58</v>
      </c>
      <c r="F56" s="110">
        <f t="shared" si="5"/>
        <v>76473.58</v>
      </c>
      <c r="G56" s="187"/>
      <c r="H56" s="38"/>
      <c r="I56" s="38"/>
      <c r="J56" s="39"/>
      <c r="K56" s="44"/>
      <c r="L56" s="41"/>
      <c r="M56" s="31"/>
    </row>
    <row r="57" spans="1:13" ht="36.75">
      <c r="A57" s="73">
        <v>4</v>
      </c>
      <c r="B57" s="58" t="s">
        <v>144</v>
      </c>
      <c r="C57" s="184" t="s">
        <v>52</v>
      </c>
      <c r="D57" s="37">
        <v>1</v>
      </c>
      <c r="E57" s="110">
        <v>30000</v>
      </c>
      <c r="F57" s="110">
        <f t="shared" si="5"/>
        <v>30000</v>
      </c>
      <c r="G57" s="187"/>
      <c r="H57" s="38"/>
      <c r="I57" s="38"/>
      <c r="J57" s="39"/>
      <c r="K57" s="44"/>
      <c r="L57" s="41"/>
      <c r="M57" s="31"/>
    </row>
    <row r="58" spans="1:13" ht="24.75">
      <c r="A58" s="73">
        <v>5</v>
      </c>
      <c r="B58" s="58" t="s">
        <v>145</v>
      </c>
      <c r="C58" s="184" t="s">
        <v>52</v>
      </c>
      <c r="D58" s="37">
        <v>1</v>
      </c>
      <c r="E58" s="110">
        <v>10000</v>
      </c>
      <c r="F58" s="110">
        <f>D58*E58</f>
        <v>10000</v>
      </c>
      <c r="G58" s="187"/>
      <c r="H58" s="38"/>
      <c r="I58" s="38"/>
      <c r="J58" s="39"/>
      <c r="K58" s="44"/>
      <c r="L58" s="41"/>
      <c r="M58" s="31"/>
    </row>
    <row r="59" spans="1:13" ht="24.75">
      <c r="A59" s="73">
        <v>6</v>
      </c>
      <c r="B59" s="58" t="s">
        <v>64</v>
      </c>
      <c r="C59" s="184" t="s">
        <v>52</v>
      </c>
      <c r="D59" s="37">
        <v>1</v>
      </c>
      <c r="E59" s="110">
        <v>15000</v>
      </c>
      <c r="F59" s="110">
        <f>D59*E59</f>
        <v>15000</v>
      </c>
      <c r="G59" s="187"/>
      <c r="H59" s="38"/>
      <c r="I59" s="38"/>
      <c r="J59" s="39"/>
      <c r="K59" s="44"/>
      <c r="L59" s="41"/>
      <c r="M59" s="31"/>
    </row>
    <row r="60" spans="1:13" ht="36.75">
      <c r="A60" s="73">
        <v>7</v>
      </c>
      <c r="B60" s="58" t="s">
        <v>146</v>
      </c>
      <c r="C60" s="184" t="s">
        <v>38</v>
      </c>
      <c r="D60" s="37">
        <v>16</v>
      </c>
      <c r="E60" s="110">
        <v>2750</v>
      </c>
      <c r="F60" s="110">
        <f>D60*E60</f>
        <v>44000</v>
      </c>
      <c r="G60" s="187"/>
      <c r="H60" s="38"/>
      <c r="I60" s="38"/>
      <c r="J60" s="39"/>
      <c r="K60" s="44"/>
      <c r="L60" s="41"/>
      <c r="M60" s="31"/>
    </row>
    <row r="61" spans="1:13">
      <c r="A61" s="73"/>
      <c r="B61" s="192" t="s">
        <v>66</v>
      </c>
      <c r="C61" s="184"/>
      <c r="D61" s="37"/>
      <c r="E61" s="193"/>
      <c r="F61" s="179">
        <f>SUM(F54:F60)+0.01</f>
        <v>559343.39</v>
      </c>
      <c r="G61" s="187"/>
      <c r="H61" s="38"/>
      <c r="I61" s="74"/>
      <c r="J61" s="75"/>
      <c r="K61" s="115"/>
      <c r="L61" s="115"/>
      <c r="M61" s="64"/>
    </row>
    <row r="62" spans="1:13">
      <c r="A62" s="84" t="s">
        <v>71</v>
      </c>
      <c r="B62" s="59" t="s">
        <v>68</v>
      </c>
      <c r="C62" s="184"/>
      <c r="D62" s="37"/>
      <c r="E62" s="193"/>
      <c r="F62" s="37"/>
      <c r="G62" s="187"/>
      <c r="H62" s="38"/>
      <c r="I62" s="74"/>
      <c r="J62" s="75"/>
      <c r="K62" s="44"/>
      <c r="L62" s="88"/>
      <c r="M62" s="31"/>
    </row>
    <row r="63" spans="1:13" ht="36.75">
      <c r="A63" s="73">
        <v>1</v>
      </c>
      <c r="B63" s="58" t="s">
        <v>147</v>
      </c>
      <c r="C63" s="194" t="s">
        <v>52</v>
      </c>
      <c r="D63" s="195">
        <v>1</v>
      </c>
      <c r="E63" s="194">
        <v>493697.17</v>
      </c>
      <c r="F63" s="195">
        <f>D63*E63</f>
        <v>493697.17</v>
      </c>
      <c r="G63" s="196"/>
      <c r="H63" s="197"/>
      <c r="I63" s="197"/>
      <c r="J63" s="198"/>
      <c r="K63" s="199"/>
      <c r="L63" s="200"/>
      <c r="M63" s="201"/>
    </row>
    <row r="64" spans="1:13" ht="36.75">
      <c r="A64" s="73">
        <v>2</v>
      </c>
      <c r="B64" s="58" t="s">
        <v>142</v>
      </c>
      <c r="C64" s="194" t="s">
        <v>52</v>
      </c>
      <c r="D64" s="195">
        <v>1</v>
      </c>
      <c r="E64" s="194">
        <v>96293.81</v>
      </c>
      <c r="F64" s="195">
        <f t="shared" ref="F64:F68" si="6">D64*E64</f>
        <v>96293.81</v>
      </c>
      <c r="G64" s="196"/>
      <c r="H64" s="197"/>
      <c r="I64" s="197"/>
      <c r="J64" s="198"/>
      <c r="K64" s="199"/>
      <c r="L64" s="200"/>
      <c r="M64" s="201"/>
    </row>
    <row r="65" spans="1:13" ht="36.75">
      <c r="A65" s="73">
        <v>3</v>
      </c>
      <c r="B65" s="58" t="s">
        <v>143</v>
      </c>
      <c r="C65" s="194" t="s">
        <v>52</v>
      </c>
      <c r="D65" s="195">
        <v>1</v>
      </c>
      <c r="E65" s="194">
        <v>76473.58</v>
      </c>
      <c r="F65" s="195">
        <f t="shared" si="6"/>
        <v>76473.58</v>
      </c>
      <c r="G65" s="196"/>
      <c r="H65" s="197"/>
      <c r="I65" s="197"/>
      <c r="J65" s="198"/>
      <c r="K65" s="199"/>
      <c r="L65" s="200"/>
      <c r="M65" s="201"/>
    </row>
    <row r="66" spans="1:13" ht="36.75">
      <c r="A66" s="73">
        <v>4</v>
      </c>
      <c r="B66" s="58" t="s">
        <v>144</v>
      </c>
      <c r="C66" s="194" t="s">
        <v>52</v>
      </c>
      <c r="D66" s="195">
        <v>1</v>
      </c>
      <c r="E66" s="194">
        <v>30000</v>
      </c>
      <c r="F66" s="195">
        <f t="shared" si="6"/>
        <v>30000</v>
      </c>
      <c r="G66" s="196"/>
      <c r="H66" s="197"/>
      <c r="I66" s="197"/>
      <c r="J66" s="198"/>
      <c r="K66" s="199"/>
      <c r="L66" s="200"/>
      <c r="M66" s="201"/>
    </row>
    <row r="67" spans="1:13" ht="24.75">
      <c r="A67" s="73">
        <v>5</v>
      </c>
      <c r="B67" s="58" t="s">
        <v>145</v>
      </c>
      <c r="C67" s="194" t="s">
        <v>52</v>
      </c>
      <c r="D67" s="195">
        <v>1</v>
      </c>
      <c r="E67" s="194">
        <v>10000</v>
      </c>
      <c r="F67" s="195">
        <f t="shared" si="6"/>
        <v>10000</v>
      </c>
      <c r="G67" s="196"/>
      <c r="H67" s="197"/>
      <c r="I67" s="197"/>
      <c r="J67" s="198"/>
      <c r="K67" s="199"/>
      <c r="L67" s="200"/>
      <c r="M67" s="201"/>
    </row>
    <row r="68" spans="1:13" ht="24.75">
      <c r="A68" s="73">
        <v>6</v>
      </c>
      <c r="B68" s="58" t="s">
        <v>64</v>
      </c>
      <c r="C68" s="194" t="s">
        <v>52</v>
      </c>
      <c r="D68" s="195">
        <v>1</v>
      </c>
      <c r="E68" s="194">
        <v>15000</v>
      </c>
      <c r="F68" s="195">
        <f t="shared" si="6"/>
        <v>15000</v>
      </c>
      <c r="G68" s="196"/>
      <c r="H68" s="197"/>
      <c r="I68" s="197"/>
      <c r="J68" s="198"/>
      <c r="K68" s="199"/>
      <c r="L68" s="200"/>
      <c r="M68" s="201"/>
    </row>
    <row r="69" spans="1:13" ht="36.75">
      <c r="A69" s="73">
        <v>7</v>
      </c>
      <c r="B69" s="58" t="s">
        <v>146</v>
      </c>
      <c r="C69" s="194" t="s">
        <v>38</v>
      </c>
      <c r="D69" s="195">
        <v>16</v>
      </c>
      <c r="E69" s="194">
        <v>3105.82375</v>
      </c>
      <c r="F69" s="195">
        <f>D69*E69</f>
        <v>49693.18</v>
      </c>
      <c r="G69" s="196"/>
      <c r="H69" s="197"/>
      <c r="I69" s="197"/>
      <c r="J69" s="198"/>
      <c r="K69" s="199"/>
      <c r="L69" s="200"/>
      <c r="M69" s="201"/>
    </row>
    <row r="70" spans="1:13">
      <c r="A70" s="73"/>
      <c r="B70" s="59" t="s">
        <v>39</v>
      </c>
      <c r="C70" s="202"/>
      <c r="D70" s="203"/>
      <c r="E70" s="202"/>
      <c r="F70" s="204">
        <f>SUM(F63:F69)</f>
        <v>771157.74</v>
      </c>
      <c r="G70" s="196"/>
      <c r="H70" s="197"/>
      <c r="I70" s="197"/>
      <c r="J70" s="198"/>
      <c r="K70" s="199"/>
      <c r="L70" s="200"/>
      <c r="M70" s="201"/>
    </row>
    <row r="71" spans="1:13">
      <c r="A71" s="84" t="s">
        <v>148</v>
      </c>
      <c r="B71" s="59" t="s">
        <v>149</v>
      </c>
      <c r="C71" s="202"/>
      <c r="D71" s="203"/>
      <c r="E71" s="202"/>
      <c r="F71" s="203"/>
      <c r="G71" s="196"/>
      <c r="H71" s="197"/>
      <c r="I71" s="197"/>
      <c r="J71" s="198"/>
      <c r="K71" s="199"/>
      <c r="L71" s="200"/>
      <c r="M71" s="201"/>
    </row>
    <row r="72" spans="1:13">
      <c r="A72" s="73"/>
      <c r="B72" s="59" t="s">
        <v>150</v>
      </c>
      <c r="C72" s="202"/>
      <c r="D72" s="203"/>
      <c r="E72" s="202"/>
      <c r="F72" s="203"/>
      <c r="G72" s="196"/>
      <c r="H72" s="197"/>
      <c r="I72" s="197"/>
      <c r="J72" s="198"/>
      <c r="K72" s="199"/>
      <c r="L72" s="200"/>
      <c r="M72" s="201"/>
    </row>
    <row r="73" spans="1:13" ht="36.75">
      <c r="A73" s="73">
        <v>1</v>
      </c>
      <c r="B73" s="58" t="s">
        <v>151</v>
      </c>
      <c r="C73" s="194" t="s">
        <v>55</v>
      </c>
      <c r="D73" s="195">
        <v>1</v>
      </c>
      <c r="E73" s="194">
        <v>60000</v>
      </c>
      <c r="F73" s="195">
        <f>E73*D73</f>
        <v>60000</v>
      </c>
      <c r="G73" s="196"/>
      <c r="H73" s="197"/>
      <c r="I73" s="197"/>
      <c r="J73" s="198"/>
      <c r="K73" s="199"/>
      <c r="L73" s="200"/>
      <c r="M73" s="201"/>
    </row>
    <row r="74" spans="1:13">
      <c r="A74" s="73">
        <v>2</v>
      </c>
      <c r="B74" s="58" t="s">
        <v>152</v>
      </c>
      <c r="C74" s="194" t="s">
        <v>45</v>
      </c>
      <c r="D74" s="195">
        <v>26.4</v>
      </c>
      <c r="E74" s="194">
        <v>562.31061</v>
      </c>
      <c r="F74" s="195">
        <f t="shared" ref="F74:F77" si="7">E74*D74</f>
        <v>14845.000103999999</v>
      </c>
      <c r="G74" s="196"/>
      <c r="H74" s="197"/>
      <c r="I74" s="197"/>
      <c r="J74" s="198"/>
      <c r="K74" s="199"/>
      <c r="L74" s="200"/>
      <c r="M74" s="201"/>
    </row>
    <row r="75" spans="1:13">
      <c r="A75" s="73">
        <v>3</v>
      </c>
      <c r="B75" s="58" t="s">
        <v>153</v>
      </c>
      <c r="C75" s="194" t="s">
        <v>45</v>
      </c>
      <c r="D75" s="195">
        <v>3.4</v>
      </c>
      <c r="E75" s="194">
        <v>2715.82</v>
      </c>
      <c r="F75" s="195">
        <f t="shared" si="7"/>
        <v>9233.7880000000005</v>
      </c>
      <c r="G75" s="196"/>
      <c r="H75" s="197"/>
      <c r="I75" s="197"/>
      <c r="J75" s="198"/>
      <c r="K75" s="199"/>
      <c r="L75" s="200"/>
      <c r="M75" s="201"/>
    </row>
    <row r="76" spans="1:13">
      <c r="A76" s="73">
        <v>4</v>
      </c>
      <c r="B76" s="58" t="s">
        <v>126</v>
      </c>
      <c r="C76" s="194" t="s">
        <v>45</v>
      </c>
      <c r="D76" s="195">
        <v>4.42</v>
      </c>
      <c r="E76" s="194">
        <v>504.28507000000002</v>
      </c>
      <c r="F76" s="195">
        <f t="shared" si="7"/>
        <v>2228.9400094000002</v>
      </c>
      <c r="G76" s="196"/>
      <c r="H76" s="197"/>
      <c r="I76" s="197"/>
      <c r="J76" s="198"/>
      <c r="K76" s="199"/>
      <c r="L76" s="200"/>
      <c r="M76" s="201"/>
    </row>
    <row r="77" spans="1:13" ht="24.75">
      <c r="A77" s="73">
        <v>5</v>
      </c>
      <c r="B77" s="58" t="s">
        <v>48</v>
      </c>
      <c r="C77" s="194" t="s">
        <v>45</v>
      </c>
      <c r="D77" s="195">
        <v>21.85</v>
      </c>
      <c r="E77" s="194">
        <v>719.98443999999995</v>
      </c>
      <c r="F77" s="195">
        <f t="shared" si="7"/>
        <v>15731.660013999999</v>
      </c>
      <c r="G77" s="196"/>
      <c r="H77" s="197"/>
      <c r="I77" s="197"/>
      <c r="J77" s="198"/>
      <c r="K77" s="199"/>
      <c r="L77" s="200"/>
      <c r="M77" s="201"/>
    </row>
    <row r="78" spans="1:13">
      <c r="A78" s="73"/>
      <c r="B78" s="59" t="s">
        <v>39</v>
      </c>
      <c r="C78" s="202"/>
      <c r="D78" s="203"/>
      <c r="E78" s="202"/>
      <c r="F78" s="204">
        <f>SUM(F73:F77)</f>
        <v>102039.3881274</v>
      </c>
      <c r="G78" s="196"/>
      <c r="H78" s="197"/>
      <c r="I78" s="197"/>
      <c r="J78" s="198"/>
      <c r="K78" s="199"/>
      <c r="L78" s="200"/>
      <c r="M78" s="201"/>
    </row>
    <row r="79" spans="1:13">
      <c r="A79" s="84" t="s">
        <v>154</v>
      </c>
      <c r="B79" s="59" t="s">
        <v>155</v>
      </c>
      <c r="C79" s="202"/>
      <c r="D79" s="203"/>
      <c r="E79" s="202"/>
      <c r="F79" s="203"/>
      <c r="G79" s="196"/>
      <c r="H79" s="197"/>
      <c r="I79" s="197"/>
      <c r="J79" s="198"/>
      <c r="K79" s="199"/>
      <c r="L79" s="200"/>
      <c r="M79" s="201"/>
    </row>
    <row r="80" spans="1:13">
      <c r="A80" s="73">
        <v>1</v>
      </c>
      <c r="B80" s="58" t="s">
        <v>156</v>
      </c>
      <c r="C80" s="194" t="s">
        <v>55</v>
      </c>
      <c r="D80" s="195">
        <v>1</v>
      </c>
      <c r="E80" s="194">
        <v>240000</v>
      </c>
      <c r="F80" s="195">
        <f>D80*E80</f>
        <v>240000</v>
      </c>
      <c r="G80" s="196"/>
      <c r="H80" s="197"/>
      <c r="I80" s="197"/>
      <c r="J80" s="198"/>
      <c r="K80" s="199"/>
      <c r="L80" s="200"/>
      <c r="M80" s="201"/>
    </row>
    <row r="81" spans="1:13">
      <c r="A81" s="73"/>
      <c r="B81" s="59" t="s">
        <v>66</v>
      </c>
      <c r="C81" s="202"/>
      <c r="D81" s="203"/>
      <c r="E81" s="202"/>
      <c r="F81" s="204">
        <f>F80</f>
        <v>240000</v>
      </c>
      <c r="G81" s="196"/>
      <c r="H81" s="197"/>
      <c r="I81" s="197"/>
      <c r="J81" s="198"/>
      <c r="K81" s="199"/>
      <c r="L81" s="200"/>
      <c r="M81" s="201"/>
    </row>
    <row r="82" spans="1:13" ht="26.25">
      <c r="A82" s="205"/>
      <c r="B82" s="206" t="s">
        <v>73</v>
      </c>
      <c r="C82" s="207"/>
      <c r="D82" s="205"/>
      <c r="E82" s="205"/>
      <c r="F82" s="208">
        <f>+F78+F70+F61+F52+F43+F40+F34+F27+F24+F18+F15+F81+F31+0.01</f>
        <v>15690282.578127399</v>
      </c>
      <c r="G82" s="205"/>
      <c r="H82" s="7"/>
      <c r="I82" s="7"/>
      <c r="J82" s="7"/>
      <c r="K82" s="95"/>
      <c r="L82" s="95"/>
      <c r="M82" s="95"/>
    </row>
    <row r="83" spans="1:13">
      <c r="A83" s="205"/>
      <c r="B83" s="206"/>
      <c r="C83" s="207"/>
      <c r="D83" s="205"/>
      <c r="E83" s="205"/>
      <c r="F83" s="208"/>
      <c r="G83" s="205"/>
      <c r="H83" s="7"/>
      <c r="I83" s="7"/>
      <c r="J83" s="7"/>
      <c r="K83" s="95"/>
      <c r="L83" s="95"/>
      <c r="M83" s="95"/>
    </row>
    <row r="84" spans="1:13">
      <c r="A84" s="7"/>
      <c r="B84" s="91"/>
      <c r="C84" s="209"/>
      <c r="D84" s="7"/>
      <c r="E84" s="7"/>
      <c r="F84" s="93"/>
      <c r="G84" s="7"/>
      <c r="H84" s="7"/>
      <c r="I84" s="7"/>
      <c r="J84" s="7"/>
      <c r="K84" s="95"/>
      <c r="L84" s="95"/>
      <c r="M84" s="95"/>
    </row>
    <row r="85" spans="1:13">
      <c r="A85" s="210"/>
      <c r="B85" s="211" t="s">
        <v>157</v>
      </c>
      <c r="C85" s="212"/>
      <c r="D85" s="210"/>
      <c r="E85" s="210"/>
      <c r="F85" s="210"/>
    </row>
    <row r="86" spans="1:13">
      <c r="A86" s="213" t="s">
        <v>158</v>
      </c>
      <c r="B86" s="112" t="s">
        <v>159</v>
      </c>
      <c r="C86" s="104"/>
      <c r="D86" s="111"/>
      <c r="E86" s="111"/>
      <c r="F86" s="111"/>
      <c r="G86" s="197"/>
      <c r="H86" s="197"/>
      <c r="I86" s="197"/>
      <c r="J86" s="198"/>
      <c r="K86" s="199"/>
      <c r="L86" s="200"/>
      <c r="M86" s="201"/>
    </row>
    <row r="87" spans="1:13">
      <c r="A87" s="66">
        <v>1.01</v>
      </c>
      <c r="B87" s="111" t="s">
        <v>160</v>
      </c>
      <c r="C87" s="214" t="s">
        <v>52</v>
      </c>
      <c r="D87" s="215">
        <v>2</v>
      </c>
      <c r="E87" s="215">
        <v>75000</v>
      </c>
      <c r="F87" s="215">
        <f>D87*E87</f>
        <v>150000</v>
      </c>
      <c r="G87" s="197">
        <f>D87</f>
        <v>2</v>
      </c>
      <c r="H87" s="197"/>
      <c r="I87" s="197">
        <f>+G87+H87</f>
        <v>2</v>
      </c>
      <c r="J87" s="216">
        <f>G87/D87</f>
        <v>1</v>
      </c>
      <c r="K87" s="200">
        <f>G87*E87</f>
        <v>150000</v>
      </c>
      <c r="L87" s="200"/>
      <c r="M87" s="201">
        <f>K87+L87</f>
        <v>150000</v>
      </c>
    </row>
    <row r="88" spans="1:13">
      <c r="A88" s="66">
        <f>A87+0.01</f>
        <v>1.02</v>
      </c>
      <c r="B88" s="111" t="s">
        <v>161</v>
      </c>
      <c r="C88" s="214" t="s">
        <v>52</v>
      </c>
      <c r="D88" s="215">
        <v>2</v>
      </c>
      <c r="E88" s="215">
        <v>15000</v>
      </c>
      <c r="F88" s="215">
        <f t="shared" ref="F88" si="8">D88*E88</f>
        <v>30000</v>
      </c>
      <c r="G88" s="197">
        <f>D88</f>
        <v>2</v>
      </c>
      <c r="H88" s="197"/>
      <c r="I88" s="197">
        <f t="shared" ref="I88:I89" si="9">+G88+H88</f>
        <v>2</v>
      </c>
      <c r="J88" s="216">
        <f>G88/D88</f>
        <v>1</v>
      </c>
      <c r="K88" s="200">
        <f t="shared" ref="K88:K89" si="10">G88*E88</f>
        <v>30000</v>
      </c>
      <c r="L88" s="200"/>
      <c r="M88" s="201">
        <f t="shared" ref="M88:M90" si="11">K88+L88</f>
        <v>30000</v>
      </c>
    </row>
    <row r="89" spans="1:13">
      <c r="A89" s="66">
        <f t="shared" ref="A89:A90" si="12">A88+0.01</f>
        <v>1.03</v>
      </c>
      <c r="B89" s="111" t="s">
        <v>162</v>
      </c>
      <c r="C89" s="214" t="s">
        <v>52</v>
      </c>
      <c r="D89" s="215">
        <v>2</v>
      </c>
      <c r="E89" s="215">
        <v>5000</v>
      </c>
      <c r="F89" s="215">
        <f>D89*E89</f>
        <v>10000</v>
      </c>
      <c r="G89" s="197">
        <f>D89</f>
        <v>2</v>
      </c>
      <c r="H89" s="197"/>
      <c r="I89" s="197">
        <f t="shared" si="9"/>
        <v>2</v>
      </c>
      <c r="J89" s="216">
        <f>G89/D89</f>
        <v>1</v>
      </c>
      <c r="K89" s="200">
        <f t="shared" si="10"/>
        <v>10000</v>
      </c>
      <c r="L89" s="200"/>
      <c r="M89" s="201">
        <f t="shared" si="11"/>
        <v>10000</v>
      </c>
    </row>
    <row r="90" spans="1:13">
      <c r="A90" s="66">
        <f t="shared" si="12"/>
        <v>1.04</v>
      </c>
      <c r="B90" s="59" t="s">
        <v>66</v>
      </c>
      <c r="C90" s="217"/>
      <c r="D90" s="215"/>
      <c r="E90" s="215"/>
      <c r="F90" s="218">
        <f>SUM(F87:F89)</f>
        <v>190000</v>
      </c>
      <c r="G90" s="197"/>
      <c r="H90" s="197"/>
      <c r="I90" s="197"/>
      <c r="J90" s="198"/>
      <c r="K90" s="219">
        <f>SUM(K87:K89)</f>
        <v>190000</v>
      </c>
      <c r="L90" s="219"/>
      <c r="M90" s="220">
        <f t="shared" si="11"/>
        <v>190000</v>
      </c>
    </row>
    <row r="91" spans="1:13">
      <c r="A91" s="221" t="s">
        <v>163</v>
      </c>
      <c r="B91" s="222" t="s">
        <v>164</v>
      </c>
      <c r="C91" s="223"/>
      <c r="D91" s="224"/>
      <c r="E91" s="224"/>
      <c r="F91" s="224"/>
      <c r="G91" s="197"/>
      <c r="H91" s="197"/>
      <c r="I91" s="197"/>
      <c r="J91" s="198"/>
      <c r="K91" s="199"/>
      <c r="L91" s="200"/>
      <c r="M91" s="201"/>
    </row>
    <row r="92" spans="1:13">
      <c r="A92" s="225">
        <v>1</v>
      </c>
      <c r="B92" s="222" t="s">
        <v>75</v>
      </c>
      <c r="C92" s="223"/>
      <c r="D92" s="224"/>
      <c r="E92" s="224"/>
      <c r="F92" s="224"/>
      <c r="G92" s="197"/>
      <c r="H92" s="197"/>
      <c r="I92" s="197"/>
      <c r="J92" s="198"/>
      <c r="K92" s="199"/>
      <c r="L92" s="200"/>
      <c r="M92" s="201"/>
    </row>
    <row r="93" spans="1:13">
      <c r="A93" s="226">
        <v>1.01</v>
      </c>
      <c r="B93" s="111" t="s">
        <v>165</v>
      </c>
      <c r="C93" s="227" t="s">
        <v>52</v>
      </c>
      <c r="D93" s="215">
        <v>3</v>
      </c>
      <c r="E93" s="228">
        <v>30000</v>
      </c>
      <c r="F93" s="228">
        <f t="shared" ref="F93:F96" si="13">D93*E93</f>
        <v>90000</v>
      </c>
      <c r="G93" s="197">
        <f>D93</f>
        <v>3</v>
      </c>
      <c r="H93" s="197"/>
      <c r="I93" s="197">
        <f t="shared" ref="I93:I96" si="14">+G93+H93</f>
        <v>3</v>
      </c>
      <c r="J93" s="216">
        <f>G93/D93</f>
        <v>1</v>
      </c>
      <c r="K93" s="200">
        <f>G93*E93</f>
        <v>90000</v>
      </c>
      <c r="L93" s="200"/>
      <c r="M93" s="201">
        <f t="shared" ref="M93:M97" si="15">K93+L93</f>
        <v>90000</v>
      </c>
    </row>
    <row r="94" spans="1:13">
      <c r="A94" s="66">
        <f>A93+0.01</f>
        <v>1.02</v>
      </c>
      <c r="B94" s="111" t="s">
        <v>37</v>
      </c>
      <c r="C94" s="227" t="s">
        <v>38</v>
      </c>
      <c r="D94" s="215">
        <v>786</v>
      </c>
      <c r="E94" s="228">
        <v>143.49</v>
      </c>
      <c r="F94" s="228">
        <f t="shared" si="13"/>
        <v>112783.14000000001</v>
      </c>
      <c r="G94" s="197">
        <f>D94</f>
        <v>786</v>
      </c>
      <c r="H94" s="197"/>
      <c r="I94" s="197">
        <f t="shared" si="14"/>
        <v>786</v>
      </c>
      <c r="J94" s="216">
        <f>G94/D94</f>
        <v>1</v>
      </c>
      <c r="K94" s="200">
        <f t="shared" ref="K94:K96" si="16">G94*E94</f>
        <v>112783.14000000001</v>
      </c>
      <c r="L94" s="200"/>
      <c r="M94" s="201">
        <f t="shared" si="15"/>
        <v>112783.14000000001</v>
      </c>
    </row>
    <row r="95" spans="1:13">
      <c r="A95" s="66">
        <f t="shared" ref="A95:A97" si="17">A94+0.01</f>
        <v>1.03</v>
      </c>
      <c r="B95" s="111" t="s">
        <v>166</v>
      </c>
      <c r="C95" s="227" t="s">
        <v>38</v>
      </c>
      <c r="D95" s="215">
        <v>1572</v>
      </c>
      <c r="E95" s="228">
        <v>85</v>
      </c>
      <c r="F95" s="228">
        <f t="shared" si="13"/>
        <v>133620</v>
      </c>
      <c r="G95" s="197">
        <v>850</v>
      </c>
      <c r="H95" s="197"/>
      <c r="I95" s="197">
        <f t="shared" si="14"/>
        <v>850</v>
      </c>
      <c r="J95" s="216">
        <f>G95/D95</f>
        <v>0.54071246819338425</v>
      </c>
      <c r="K95" s="200">
        <f t="shared" si="16"/>
        <v>72250</v>
      </c>
      <c r="L95" s="200"/>
      <c r="M95" s="201">
        <f t="shared" si="15"/>
        <v>72250</v>
      </c>
    </row>
    <row r="96" spans="1:13">
      <c r="A96" s="66">
        <f t="shared" si="17"/>
        <v>1.04</v>
      </c>
      <c r="B96" s="111" t="s">
        <v>167</v>
      </c>
      <c r="C96" s="104" t="s">
        <v>38</v>
      </c>
      <c r="D96" s="111">
        <v>786</v>
      </c>
      <c r="E96" s="229">
        <v>25</v>
      </c>
      <c r="F96" s="228">
        <f t="shared" si="13"/>
        <v>19650</v>
      </c>
      <c r="G96" s="197">
        <f>D96</f>
        <v>786</v>
      </c>
      <c r="H96" s="197"/>
      <c r="I96" s="197">
        <f t="shared" si="14"/>
        <v>786</v>
      </c>
      <c r="J96" s="216">
        <f>G96/D96</f>
        <v>1</v>
      </c>
      <c r="K96" s="200">
        <f t="shared" si="16"/>
        <v>19650</v>
      </c>
      <c r="L96" s="200"/>
      <c r="M96" s="201">
        <f t="shared" si="15"/>
        <v>19650</v>
      </c>
    </row>
    <row r="97" spans="1:13">
      <c r="A97" s="66">
        <f t="shared" si="17"/>
        <v>1.05</v>
      </c>
      <c r="B97" s="59" t="s">
        <v>66</v>
      </c>
      <c r="C97" s="104"/>
      <c r="D97" s="111"/>
      <c r="E97" s="111"/>
      <c r="F97" s="230">
        <f>SUM(F93:F96)</f>
        <v>356053.14</v>
      </c>
      <c r="G97" s="197"/>
      <c r="H97" s="197"/>
      <c r="I97" s="197"/>
      <c r="J97" s="198"/>
      <c r="K97" s="231">
        <f>SUM(K93:K96)</f>
        <v>294683.14</v>
      </c>
      <c r="L97" s="219"/>
      <c r="M97" s="220">
        <f t="shared" si="15"/>
        <v>294683.14</v>
      </c>
    </row>
    <row r="98" spans="1:13">
      <c r="A98" s="213" t="s">
        <v>168</v>
      </c>
      <c r="B98" s="112" t="s">
        <v>169</v>
      </c>
      <c r="C98" s="104"/>
      <c r="D98" s="111"/>
      <c r="E98" s="111"/>
      <c r="F98" s="111"/>
      <c r="G98" s="197"/>
      <c r="H98" s="197"/>
      <c r="I98" s="197"/>
      <c r="J98" s="198"/>
      <c r="K98" s="199"/>
      <c r="L98" s="200"/>
      <c r="M98" s="201"/>
    </row>
    <row r="99" spans="1:13">
      <c r="A99" s="66">
        <v>1.01</v>
      </c>
      <c r="B99" s="111" t="s">
        <v>170</v>
      </c>
      <c r="C99" s="104" t="s">
        <v>38</v>
      </c>
      <c r="D99" s="111">
        <v>815</v>
      </c>
      <c r="E99" s="111">
        <v>2022.65</v>
      </c>
      <c r="F99" s="228">
        <f t="shared" ref="F99" si="18">D99*E99</f>
        <v>1648459.75</v>
      </c>
      <c r="G99" s="197">
        <v>786</v>
      </c>
      <c r="H99" s="197"/>
      <c r="I99" s="197">
        <f t="shared" ref="I99" si="19">+G99+H99</f>
        <v>786</v>
      </c>
      <c r="J99" s="216">
        <f>G99/D99</f>
        <v>0.96441717791411041</v>
      </c>
      <c r="K99" s="200">
        <f t="shared" ref="K99:K106" si="20">G99*E99</f>
        <v>1589802.9000000001</v>
      </c>
      <c r="L99" s="200"/>
      <c r="M99" s="201">
        <f t="shared" ref="M99" si="21">K99+L99</f>
        <v>1589802.9000000001</v>
      </c>
    </row>
    <row r="100" spans="1:13">
      <c r="A100" s="66"/>
      <c r="B100" s="59" t="s">
        <v>66</v>
      </c>
      <c r="C100" s="104"/>
      <c r="D100" s="111"/>
      <c r="E100" s="111"/>
      <c r="F100" s="230">
        <f>SUM(F99)</f>
        <v>1648459.75</v>
      </c>
      <c r="G100" s="197"/>
      <c r="H100" s="197"/>
      <c r="I100" s="197"/>
      <c r="J100" s="198"/>
      <c r="K100" s="231">
        <f>SUM(K99)</f>
        <v>1589802.9000000001</v>
      </c>
      <c r="L100" s="219"/>
      <c r="M100" s="220">
        <f>SUM(M99)</f>
        <v>1589802.9000000001</v>
      </c>
    </row>
    <row r="101" spans="1:13">
      <c r="A101" s="213" t="s">
        <v>171</v>
      </c>
      <c r="B101" s="112" t="s">
        <v>172</v>
      </c>
      <c r="C101" s="104"/>
      <c r="D101" s="111"/>
      <c r="E101" s="111"/>
      <c r="F101" s="111"/>
      <c r="G101" s="197"/>
      <c r="H101" s="197"/>
      <c r="I101" s="197"/>
      <c r="J101" s="198"/>
      <c r="K101" s="199"/>
      <c r="L101" s="200"/>
      <c r="M101" s="201"/>
    </row>
    <row r="102" spans="1:13">
      <c r="A102" s="226">
        <v>1.01</v>
      </c>
      <c r="B102" s="111" t="s">
        <v>44</v>
      </c>
      <c r="C102" s="104" t="s">
        <v>45</v>
      </c>
      <c r="D102" s="229">
        <v>537.9</v>
      </c>
      <c r="E102" s="111">
        <v>562.30999999999995</v>
      </c>
      <c r="F102" s="228">
        <f t="shared" ref="F102:F106" si="22">D102*E102</f>
        <v>302466.54899999994</v>
      </c>
      <c r="G102" s="197">
        <f>D102</f>
        <v>537.9</v>
      </c>
      <c r="H102" s="197"/>
      <c r="I102" s="197">
        <f t="shared" ref="I102:I106" si="23">+G102+H102</f>
        <v>537.9</v>
      </c>
      <c r="J102" s="216">
        <f>G102/D102</f>
        <v>1</v>
      </c>
      <c r="K102" s="200">
        <f t="shared" si="20"/>
        <v>302466.54899999994</v>
      </c>
      <c r="L102" s="200"/>
      <c r="M102" s="201">
        <f t="shared" ref="M102:M123" si="24">K102+L102</f>
        <v>302466.54899999994</v>
      </c>
    </row>
    <row r="103" spans="1:13">
      <c r="A103" s="66">
        <f>A102+0.01</f>
        <v>1.02</v>
      </c>
      <c r="B103" s="111" t="s">
        <v>173</v>
      </c>
      <c r="C103" s="104" t="s">
        <v>45</v>
      </c>
      <c r="D103" s="229">
        <v>48.9</v>
      </c>
      <c r="E103" s="111">
        <v>2715.82</v>
      </c>
      <c r="F103" s="228">
        <f t="shared" si="22"/>
        <v>132803.598</v>
      </c>
      <c r="G103" s="197">
        <f>D103</f>
        <v>48.9</v>
      </c>
      <c r="H103" s="197"/>
      <c r="I103" s="197">
        <f t="shared" si="23"/>
        <v>48.9</v>
      </c>
      <c r="J103" s="216">
        <f>G103/D103</f>
        <v>1</v>
      </c>
      <c r="K103" s="200">
        <f t="shared" si="20"/>
        <v>132803.598</v>
      </c>
      <c r="L103" s="200"/>
      <c r="M103" s="201">
        <f t="shared" si="24"/>
        <v>132803.598</v>
      </c>
    </row>
    <row r="104" spans="1:13">
      <c r="A104" s="66">
        <f t="shared" ref="A104:A107" si="25">A103+0.01</f>
        <v>1.03</v>
      </c>
      <c r="B104" s="111" t="s">
        <v>126</v>
      </c>
      <c r="C104" s="104" t="s">
        <v>45</v>
      </c>
      <c r="D104" s="229">
        <v>134.47999999999999</v>
      </c>
      <c r="E104" s="111">
        <v>504.29</v>
      </c>
      <c r="F104" s="228">
        <f t="shared" si="22"/>
        <v>67816.919200000004</v>
      </c>
      <c r="G104" s="197">
        <f>D104</f>
        <v>134.47999999999999</v>
      </c>
      <c r="H104" s="197"/>
      <c r="I104" s="197">
        <f t="shared" si="23"/>
        <v>134.47999999999999</v>
      </c>
      <c r="J104" s="216">
        <f>G104/D104</f>
        <v>1</v>
      </c>
      <c r="K104" s="200">
        <f t="shared" si="20"/>
        <v>67816.919200000004</v>
      </c>
      <c r="L104" s="200"/>
      <c r="M104" s="201">
        <f t="shared" si="24"/>
        <v>67816.919200000004</v>
      </c>
    </row>
    <row r="105" spans="1:13">
      <c r="A105" s="66">
        <f t="shared" si="25"/>
        <v>1.04</v>
      </c>
      <c r="B105" s="111" t="s">
        <v>48</v>
      </c>
      <c r="C105" s="104" t="s">
        <v>45</v>
      </c>
      <c r="D105" s="229">
        <v>672.38</v>
      </c>
      <c r="E105" s="111">
        <v>719.98</v>
      </c>
      <c r="F105" s="228">
        <f t="shared" si="22"/>
        <v>484100.15240000002</v>
      </c>
      <c r="G105" s="197">
        <f>D105</f>
        <v>672.38</v>
      </c>
      <c r="H105" s="197"/>
      <c r="I105" s="197">
        <f t="shared" si="23"/>
        <v>672.38</v>
      </c>
      <c r="J105" s="216">
        <f>G105/D105</f>
        <v>1</v>
      </c>
      <c r="K105" s="200">
        <f t="shared" si="20"/>
        <v>484100.15240000002</v>
      </c>
      <c r="L105" s="200"/>
      <c r="M105" s="201">
        <f t="shared" si="24"/>
        <v>484100.15240000002</v>
      </c>
    </row>
    <row r="106" spans="1:13">
      <c r="A106" s="66">
        <f t="shared" si="25"/>
        <v>1.05</v>
      </c>
      <c r="B106" s="111" t="s">
        <v>174</v>
      </c>
      <c r="C106" s="104" t="s">
        <v>175</v>
      </c>
      <c r="D106" s="229">
        <v>64</v>
      </c>
      <c r="E106" s="111">
        <v>2400</v>
      </c>
      <c r="F106" s="228">
        <f t="shared" si="22"/>
        <v>153600</v>
      </c>
      <c r="G106" s="197">
        <f>D106</f>
        <v>64</v>
      </c>
      <c r="H106" s="197"/>
      <c r="I106" s="197">
        <f t="shared" si="23"/>
        <v>64</v>
      </c>
      <c r="J106" s="216">
        <f>G106/D106</f>
        <v>1</v>
      </c>
      <c r="K106" s="200">
        <f t="shared" si="20"/>
        <v>153600</v>
      </c>
      <c r="L106" s="200"/>
      <c r="M106" s="201">
        <f t="shared" si="24"/>
        <v>153600</v>
      </c>
    </row>
    <row r="107" spans="1:13">
      <c r="A107" s="66">
        <f t="shared" si="25"/>
        <v>1.06</v>
      </c>
      <c r="B107" s="59" t="s">
        <v>66</v>
      </c>
      <c r="C107" s="104"/>
      <c r="D107" s="111"/>
      <c r="E107" s="111"/>
      <c r="F107" s="230">
        <f>SUM(F102:F106)</f>
        <v>1140787.2186</v>
      </c>
      <c r="G107" s="197"/>
      <c r="H107" s="197"/>
      <c r="I107" s="197"/>
      <c r="J107" s="198"/>
      <c r="K107" s="231">
        <f>SUM(K102:K106)</f>
        <v>1140787.2186</v>
      </c>
      <c r="L107" s="219"/>
      <c r="M107" s="220">
        <f t="shared" si="24"/>
        <v>1140787.2186</v>
      </c>
    </row>
    <row r="108" spans="1:13">
      <c r="A108" s="213" t="s">
        <v>176</v>
      </c>
      <c r="B108" s="222" t="s">
        <v>177</v>
      </c>
      <c r="C108" s="223"/>
      <c r="D108" s="224"/>
      <c r="E108" s="224"/>
      <c r="F108" s="232"/>
      <c r="G108" s="197"/>
      <c r="H108" s="197"/>
      <c r="I108" s="197"/>
      <c r="J108" s="198"/>
      <c r="K108" s="199"/>
      <c r="L108" s="219"/>
      <c r="M108" s="220"/>
    </row>
    <row r="109" spans="1:13">
      <c r="A109" s="233">
        <v>1</v>
      </c>
      <c r="B109" s="222" t="s">
        <v>75</v>
      </c>
      <c r="C109" s="223"/>
      <c r="D109" s="224"/>
      <c r="E109" s="224"/>
      <c r="F109" s="232"/>
      <c r="G109" s="197"/>
      <c r="H109" s="197"/>
      <c r="I109" s="197"/>
      <c r="J109" s="198"/>
      <c r="K109" s="199"/>
      <c r="L109" s="219"/>
      <c r="M109" s="220"/>
    </row>
    <row r="110" spans="1:13">
      <c r="A110" s="66">
        <v>1.01</v>
      </c>
      <c r="B110" s="111" t="s">
        <v>37</v>
      </c>
      <c r="C110" s="227" t="s">
        <v>38</v>
      </c>
      <c r="D110" s="228">
        <v>2250</v>
      </c>
      <c r="E110" s="228">
        <v>143.49</v>
      </c>
      <c r="F110" s="234">
        <f t="shared" ref="F110:F112" si="26">D110*E110</f>
        <v>322852.5</v>
      </c>
      <c r="G110" s="197">
        <f>900</f>
        <v>900</v>
      </c>
      <c r="H110" s="197">
        <v>900</v>
      </c>
      <c r="I110" s="197">
        <f t="shared" ref="I110:I112" si="27">+G110+H110</f>
        <v>1800</v>
      </c>
      <c r="J110" s="216">
        <f>I110/D110</f>
        <v>0.8</v>
      </c>
      <c r="K110" s="200">
        <f t="shared" ref="K110:K112" si="28">G110*E110</f>
        <v>129141.00000000001</v>
      </c>
      <c r="L110" s="200">
        <f>H110*E110</f>
        <v>129141.00000000001</v>
      </c>
      <c r="M110" s="201">
        <f t="shared" si="24"/>
        <v>258282.00000000003</v>
      </c>
    </row>
    <row r="111" spans="1:13">
      <c r="A111" s="66">
        <v>1.02</v>
      </c>
      <c r="B111" s="111" t="s">
        <v>166</v>
      </c>
      <c r="C111" s="227" t="s">
        <v>38</v>
      </c>
      <c r="D111" s="228">
        <v>4500</v>
      </c>
      <c r="E111" s="228">
        <v>85</v>
      </c>
      <c r="F111" s="234">
        <f t="shared" si="26"/>
        <v>382500</v>
      </c>
      <c r="G111" s="197">
        <v>900</v>
      </c>
      <c r="H111" s="197">
        <v>900</v>
      </c>
      <c r="I111" s="197">
        <f t="shared" si="27"/>
        <v>1800</v>
      </c>
      <c r="J111" s="216">
        <f>I111/D111</f>
        <v>0.4</v>
      </c>
      <c r="K111" s="200">
        <f t="shared" si="28"/>
        <v>76500</v>
      </c>
      <c r="L111" s="200">
        <f t="shared" ref="L111:L112" si="29">H111*E111</f>
        <v>76500</v>
      </c>
      <c r="M111" s="201">
        <f t="shared" si="24"/>
        <v>153000</v>
      </c>
    </row>
    <row r="112" spans="1:13">
      <c r="A112" s="66">
        <v>1.03</v>
      </c>
      <c r="B112" s="111" t="s">
        <v>167</v>
      </c>
      <c r="C112" s="104" t="s">
        <v>38</v>
      </c>
      <c r="D112" s="229">
        <v>2250</v>
      </c>
      <c r="E112" s="229">
        <v>25</v>
      </c>
      <c r="F112" s="234">
        <f t="shared" si="26"/>
        <v>56250</v>
      </c>
      <c r="G112" s="197">
        <v>900</v>
      </c>
      <c r="H112" s="197">
        <v>900</v>
      </c>
      <c r="I112" s="197">
        <f t="shared" si="27"/>
        <v>1800</v>
      </c>
      <c r="J112" s="216">
        <f>I112/D112</f>
        <v>0.8</v>
      </c>
      <c r="K112" s="200">
        <f t="shared" si="28"/>
        <v>22500</v>
      </c>
      <c r="L112" s="200">
        <f t="shared" si="29"/>
        <v>22500</v>
      </c>
      <c r="M112" s="201">
        <f t="shared" si="24"/>
        <v>45000</v>
      </c>
    </row>
    <row r="113" spans="1:13">
      <c r="A113" s="66">
        <v>1.04</v>
      </c>
      <c r="B113" s="59" t="s">
        <v>66</v>
      </c>
      <c r="C113" s="104"/>
      <c r="D113" s="229"/>
      <c r="E113" s="229"/>
      <c r="F113" s="235">
        <f>SUM(F110:F112)</f>
        <v>761602.5</v>
      </c>
      <c r="G113" s="197"/>
      <c r="H113" s="197"/>
      <c r="I113" s="197"/>
      <c r="J113" s="198"/>
      <c r="K113" s="231">
        <f>SUM(K110:K112)</f>
        <v>228141</v>
      </c>
      <c r="L113" s="219">
        <f>SUM(L110:L112)</f>
        <v>228141</v>
      </c>
      <c r="M113" s="220">
        <f>K113+L113</f>
        <v>456282</v>
      </c>
    </row>
    <row r="114" spans="1:13">
      <c r="A114" s="233">
        <v>2</v>
      </c>
      <c r="B114" s="236" t="s">
        <v>169</v>
      </c>
      <c r="C114" s="104"/>
      <c r="D114" s="229"/>
      <c r="E114" s="229"/>
      <c r="F114" s="237"/>
      <c r="G114" s="197"/>
      <c r="H114" s="197"/>
      <c r="I114" s="197"/>
      <c r="J114" s="198"/>
      <c r="K114" s="199"/>
      <c r="L114" s="219"/>
      <c r="M114" s="220"/>
    </row>
    <row r="115" spans="1:13">
      <c r="A115" s="238">
        <v>2.0099999999999998</v>
      </c>
      <c r="B115" s="239" t="s">
        <v>170</v>
      </c>
      <c r="C115" s="104" t="s">
        <v>38</v>
      </c>
      <c r="D115" s="229">
        <v>2362.5</v>
      </c>
      <c r="E115" s="229">
        <v>2022.65</v>
      </c>
      <c r="F115" s="234">
        <f t="shared" ref="F115" si="30">D115*E115</f>
        <v>4778510.625</v>
      </c>
      <c r="G115" s="197">
        <f>900</f>
        <v>900</v>
      </c>
      <c r="H115" s="197">
        <v>900</v>
      </c>
      <c r="I115" s="197">
        <f t="shared" ref="I115" si="31">+G115+H115</f>
        <v>1800</v>
      </c>
      <c r="J115" s="216">
        <f>I115/D115</f>
        <v>0.76190476190476186</v>
      </c>
      <c r="K115" s="200">
        <f t="shared" ref="K115:K121" si="32">G115*E115</f>
        <v>1820385</v>
      </c>
      <c r="L115" s="200">
        <f>H115*E115</f>
        <v>1820385</v>
      </c>
      <c r="M115" s="201">
        <f>K115+L115</f>
        <v>3640770</v>
      </c>
    </row>
    <row r="116" spans="1:13">
      <c r="A116" s="238">
        <v>2.02</v>
      </c>
      <c r="B116" s="240" t="s">
        <v>66</v>
      </c>
      <c r="C116" s="104"/>
      <c r="D116" s="229"/>
      <c r="E116" s="229"/>
      <c r="F116" s="241">
        <f>SUM(F115)</f>
        <v>4778510.625</v>
      </c>
      <c r="G116" s="197"/>
      <c r="H116" s="197"/>
      <c r="I116" s="197"/>
      <c r="J116" s="198"/>
      <c r="K116" s="219">
        <f>SUM(K115)</f>
        <v>1820385</v>
      </c>
      <c r="L116" s="219">
        <f>SUM(L115)</f>
        <v>1820385</v>
      </c>
      <c r="M116" s="220">
        <f>K116+L116</f>
        <v>3640770</v>
      </c>
    </row>
    <row r="117" spans="1:13">
      <c r="A117" s="233">
        <v>3</v>
      </c>
      <c r="B117" s="236" t="s">
        <v>172</v>
      </c>
      <c r="C117" s="104"/>
      <c r="D117" s="111"/>
      <c r="E117" s="111"/>
      <c r="F117" s="242"/>
      <c r="G117" s="197"/>
      <c r="H117" s="197"/>
      <c r="I117" s="197"/>
      <c r="J117" s="198"/>
      <c r="K117" s="199"/>
      <c r="L117" s="219"/>
      <c r="M117" s="220"/>
    </row>
    <row r="118" spans="1:13">
      <c r="A118" s="238">
        <v>3.01</v>
      </c>
      <c r="B118" s="239" t="s">
        <v>44</v>
      </c>
      <c r="C118" s="104" t="s">
        <v>45</v>
      </c>
      <c r="D118" s="229">
        <f>D110*0.6*1.1</f>
        <v>1485.0000000000002</v>
      </c>
      <c r="E118" s="111">
        <v>562.30999999999995</v>
      </c>
      <c r="F118" s="234">
        <f t="shared" ref="F118:F121" si="33">D118*E118</f>
        <v>835030.35000000009</v>
      </c>
      <c r="G118" s="197">
        <f>900*0.6*1.1</f>
        <v>594</v>
      </c>
      <c r="H118" s="197">
        <f>900*0.6*1.1</f>
        <v>594</v>
      </c>
      <c r="I118" s="197">
        <f t="shared" ref="I118:I121" si="34">+G118+H118</f>
        <v>1188</v>
      </c>
      <c r="J118" s="216">
        <f>I118/D118</f>
        <v>0.79999999999999982</v>
      </c>
      <c r="K118" s="200">
        <f t="shared" si="32"/>
        <v>334012.13999999996</v>
      </c>
      <c r="L118" s="200">
        <f>H118*E118</f>
        <v>334012.13999999996</v>
      </c>
      <c r="M118" s="201">
        <f>K118+L118</f>
        <v>668024.27999999991</v>
      </c>
    </row>
    <row r="119" spans="1:13">
      <c r="A119" s="238">
        <v>3.02</v>
      </c>
      <c r="B119" s="239" t="s">
        <v>173</v>
      </c>
      <c r="C119" s="104" t="s">
        <v>45</v>
      </c>
      <c r="D119" s="229">
        <f>2250*0.1*0.6</f>
        <v>135</v>
      </c>
      <c r="E119" s="111">
        <v>2715.82</v>
      </c>
      <c r="F119" s="234">
        <f t="shared" si="33"/>
        <v>366635.7</v>
      </c>
      <c r="G119" s="197">
        <f>900*0.6*0.1</f>
        <v>54</v>
      </c>
      <c r="H119" s="197">
        <f>900*0.6*0.1</f>
        <v>54</v>
      </c>
      <c r="I119" s="197">
        <f t="shared" si="34"/>
        <v>108</v>
      </c>
      <c r="J119" s="216">
        <f t="shared" ref="J119:J121" si="35">I119/D119</f>
        <v>0.8</v>
      </c>
      <c r="K119" s="200">
        <f t="shared" si="32"/>
        <v>146654.28</v>
      </c>
      <c r="L119" s="200">
        <f t="shared" ref="L119:L121" si="36">H119*E119</f>
        <v>146654.28</v>
      </c>
      <c r="M119" s="201">
        <f t="shared" ref="M119:M121" si="37">K119+L119</f>
        <v>293308.56</v>
      </c>
    </row>
    <row r="120" spans="1:13">
      <c r="A120" s="238">
        <v>3.03</v>
      </c>
      <c r="B120" s="239" t="s">
        <v>126</v>
      </c>
      <c r="C120" s="104" t="s">
        <v>45</v>
      </c>
      <c r="D120" s="229">
        <v>445.5</v>
      </c>
      <c r="E120" s="111">
        <v>504.29</v>
      </c>
      <c r="F120" s="234">
        <f t="shared" si="33"/>
        <v>224661.19500000001</v>
      </c>
      <c r="G120" s="197">
        <f>594*0.3</f>
        <v>178.2</v>
      </c>
      <c r="H120" s="197">
        <f>H118*0.3</f>
        <v>178.2</v>
      </c>
      <c r="I120" s="197">
        <f t="shared" si="34"/>
        <v>356.4</v>
      </c>
      <c r="J120" s="216">
        <f t="shared" si="35"/>
        <v>0.79999999999999993</v>
      </c>
      <c r="K120" s="200">
        <f t="shared" si="32"/>
        <v>89864.478000000003</v>
      </c>
      <c r="L120" s="200">
        <f t="shared" si="36"/>
        <v>89864.478000000003</v>
      </c>
      <c r="M120" s="201">
        <f t="shared" si="37"/>
        <v>179728.95600000001</v>
      </c>
    </row>
    <row r="121" spans="1:13">
      <c r="A121" s="238">
        <v>3.04</v>
      </c>
      <c r="B121" s="239" t="s">
        <v>48</v>
      </c>
      <c r="C121" s="104" t="s">
        <v>45</v>
      </c>
      <c r="D121" s="229">
        <v>1350.5</v>
      </c>
      <c r="E121" s="111">
        <v>719.98</v>
      </c>
      <c r="F121" s="228">
        <f t="shared" si="33"/>
        <v>972332.99</v>
      </c>
      <c r="G121" s="243">
        <f>D121*0.3</f>
        <v>405.15</v>
      </c>
      <c r="H121" s="197">
        <v>540</v>
      </c>
      <c r="I121" s="197">
        <f t="shared" si="34"/>
        <v>945.15</v>
      </c>
      <c r="J121" s="216">
        <f t="shared" si="35"/>
        <v>0.69985190670122177</v>
      </c>
      <c r="K121" s="200">
        <f t="shared" si="32"/>
        <v>291699.897</v>
      </c>
      <c r="L121" s="200">
        <f t="shared" si="36"/>
        <v>388789.2</v>
      </c>
      <c r="M121" s="244">
        <f t="shared" si="37"/>
        <v>680489.09700000007</v>
      </c>
    </row>
    <row r="122" spans="1:13">
      <c r="A122" s="238"/>
      <c r="B122" s="245" t="s">
        <v>66</v>
      </c>
      <c r="C122" s="246"/>
      <c r="D122" s="247"/>
      <c r="E122" s="247"/>
      <c r="F122" s="248">
        <f>SUM(F118:F121)</f>
        <v>2398660.2350000003</v>
      </c>
      <c r="G122" s="197"/>
      <c r="H122" s="197"/>
      <c r="I122" s="197"/>
      <c r="J122" s="197"/>
      <c r="K122" s="231">
        <f>SUM(K118:K121)</f>
        <v>862230.79499999993</v>
      </c>
      <c r="L122" s="231">
        <f>SUM(L118:L121)</f>
        <v>959320.098</v>
      </c>
      <c r="M122" s="231">
        <f>K122+L122</f>
        <v>1821550.8929999999</v>
      </c>
    </row>
    <row r="123" spans="1:13">
      <c r="A123" s="116"/>
      <c r="B123" s="98" t="s">
        <v>178</v>
      </c>
      <c r="C123" s="249"/>
      <c r="D123" s="116"/>
      <c r="E123" s="116"/>
      <c r="F123" s="118">
        <f>F107+F100+F97+F90+F122+F116+F113</f>
        <v>11274073.468600001</v>
      </c>
      <c r="K123" s="118">
        <f>K122+K116+K113+K107+K100+K97+K90</f>
        <v>6126030.0536000002</v>
      </c>
      <c r="L123" s="118">
        <f>L122+L116+L113</f>
        <v>3007846.0980000002</v>
      </c>
      <c r="M123" s="250">
        <f t="shared" si="24"/>
        <v>9133876.1515999995</v>
      </c>
    </row>
    <row r="124" spans="1:13">
      <c r="A124" s="116"/>
      <c r="B124" s="91" t="s">
        <v>82</v>
      </c>
      <c r="C124" s="251"/>
      <c r="D124" s="251"/>
      <c r="E124" s="116"/>
      <c r="F124" s="118">
        <f>F82</f>
        <v>15690282.578127399</v>
      </c>
      <c r="L124" s="118"/>
      <c r="M124" s="250"/>
    </row>
    <row r="125" spans="1:13">
      <c r="A125" s="116"/>
      <c r="B125" s="126" t="s">
        <v>83</v>
      </c>
      <c r="C125" s="7"/>
      <c r="D125" s="7"/>
      <c r="E125" s="116"/>
      <c r="F125" s="118">
        <f>F15+F18+F24+F27+F31+F34+F40+F43+F52</f>
        <v>14017742.050000001</v>
      </c>
      <c r="L125" s="118"/>
      <c r="M125" s="250"/>
    </row>
    <row r="126" spans="1:13">
      <c r="A126" s="116"/>
      <c r="B126" s="10" t="s">
        <v>84</v>
      </c>
      <c r="C126" s="7"/>
      <c r="D126" s="7"/>
      <c r="E126" s="116"/>
      <c r="F126" s="118">
        <f>F124-F125</f>
        <v>1672540.5281273983</v>
      </c>
      <c r="L126" s="118"/>
      <c r="M126" s="250"/>
    </row>
    <row r="127" spans="1:13">
      <c r="A127" s="116"/>
      <c r="B127" s="10" t="s">
        <v>85</v>
      </c>
      <c r="C127" s="7"/>
      <c r="D127" s="7"/>
      <c r="E127" s="116"/>
      <c r="F127" s="118">
        <f>F126</f>
        <v>1672540.5281273983</v>
      </c>
      <c r="L127" s="118"/>
      <c r="M127" s="250"/>
    </row>
    <row r="128" spans="1:13">
      <c r="A128" s="116"/>
      <c r="B128" s="98" t="s">
        <v>179</v>
      </c>
      <c r="C128" s="7"/>
      <c r="D128" s="7"/>
      <c r="E128" s="116"/>
      <c r="F128" s="118"/>
      <c r="L128" s="118"/>
      <c r="M128" s="250"/>
    </row>
    <row r="129" spans="1:13">
      <c r="A129" s="116"/>
      <c r="B129" s="98" t="s">
        <v>180</v>
      </c>
      <c r="C129" s="252"/>
      <c r="D129" s="98"/>
      <c r="E129" s="98"/>
      <c r="F129" s="118"/>
      <c r="L129" s="118"/>
      <c r="M129" s="250"/>
    </row>
    <row r="130" spans="1:13">
      <c r="A130" s="116"/>
      <c r="C130" s="253"/>
      <c r="L130" s="118"/>
      <c r="M130" s="250"/>
    </row>
    <row r="131" spans="1:13">
      <c r="A131" s="116"/>
      <c r="B131" s="98"/>
      <c r="C131" s="249"/>
      <c r="D131" s="116"/>
      <c r="E131" s="116"/>
      <c r="F131" s="118"/>
      <c r="L131" s="118"/>
      <c r="M131" s="250"/>
    </row>
    <row r="132" spans="1:13">
      <c r="A132" s="116"/>
      <c r="B132" s="98"/>
      <c r="C132" s="249"/>
      <c r="D132" s="116"/>
      <c r="E132" s="116"/>
      <c r="F132" s="118"/>
      <c r="L132" s="118"/>
      <c r="M132" s="250"/>
    </row>
    <row r="133" spans="1:13">
      <c r="A133" s="116"/>
      <c r="B133" s="98"/>
      <c r="C133" s="249"/>
      <c r="D133" s="116"/>
      <c r="E133" s="116"/>
      <c r="F133" s="118"/>
      <c r="L133" s="118"/>
      <c r="M133" s="250"/>
    </row>
    <row r="134" spans="1:13">
      <c r="A134" s="116"/>
      <c r="B134" s="98"/>
      <c r="C134" s="249"/>
      <c r="D134" s="116"/>
      <c r="E134" s="116"/>
      <c r="F134" s="118"/>
      <c r="L134" s="118"/>
      <c r="M134" s="250"/>
    </row>
    <row r="135" spans="1:13">
      <c r="A135" s="116"/>
      <c r="B135" s="98"/>
      <c r="C135" s="249"/>
      <c r="D135" s="116"/>
      <c r="E135" s="116"/>
      <c r="F135" s="118"/>
      <c r="L135" s="118"/>
      <c r="M135" s="250"/>
    </row>
    <row r="136" spans="1:13">
      <c r="A136" s="116"/>
      <c r="B136" s="98"/>
      <c r="C136" s="249"/>
      <c r="D136" s="116"/>
      <c r="E136" s="116"/>
      <c r="F136" s="118"/>
      <c r="L136" s="118"/>
      <c r="M136" s="250"/>
    </row>
    <row r="137" spans="1:13">
      <c r="A137" s="116"/>
      <c r="B137" s="98"/>
      <c r="C137" s="249"/>
      <c r="D137" s="116"/>
      <c r="E137" s="116"/>
      <c r="F137" s="118"/>
      <c r="L137" s="118"/>
      <c r="M137" s="250"/>
    </row>
    <row r="138" spans="1:13">
      <c r="A138" s="116"/>
      <c r="B138" s="98"/>
      <c r="C138" s="249"/>
      <c r="D138" s="116"/>
      <c r="E138" s="116"/>
      <c r="F138" s="118"/>
      <c r="L138" s="118"/>
      <c r="M138" s="250"/>
    </row>
    <row r="139" spans="1:13">
      <c r="A139" s="116"/>
      <c r="B139" s="98"/>
      <c r="C139" s="249"/>
      <c r="D139" s="116"/>
      <c r="E139" s="116"/>
      <c r="F139" s="118"/>
      <c r="L139" s="118"/>
      <c r="M139" s="250"/>
    </row>
    <row r="140" spans="1:13">
      <c r="A140" s="116"/>
      <c r="B140" s="98"/>
      <c r="C140" s="249"/>
      <c r="D140" s="116"/>
      <c r="E140" s="116"/>
      <c r="F140" s="118"/>
      <c r="L140" s="118"/>
      <c r="M140" s="250"/>
    </row>
    <row r="141" spans="1:13">
      <c r="A141" s="116"/>
      <c r="B141" s="98"/>
      <c r="C141" s="249"/>
      <c r="D141" s="116"/>
      <c r="E141" s="116"/>
      <c r="F141" s="118"/>
      <c r="L141" s="118"/>
      <c r="M141" s="250"/>
    </row>
    <row r="142" spans="1:13">
      <c r="A142" s="116"/>
      <c r="B142" s="98"/>
      <c r="C142" s="249"/>
      <c r="D142" s="116"/>
      <c r="E142" s="116"/>
      <c r="F142" s="118"/>
      <c r="L142" s="118"/>
      <c r="M142" s="250"/>
    </row>
    <row r="143" spans="1:13">
      <c r="A143" s="116"/>
      <c r="B143" s="98"/>
      <c r="C143" s="249"/>
      <c r="D143" s="116"/>
      <c r="E143" s="116"/>
      <c r="F143" s="118"/>
      <c r="L143" s="118"/>
      <c r="M143" s="250"/>
    </row>
    <row r="144" spans="1:13">
      <c r="A144" s="116"/>
      <c r="B144" s="98"/>
      <c r="C144" s="249"/>
      <c r="D144" s="116"/>
      <c r="E144" s="116"/>
      <c r="F144" s="118"/>
      <c r="L144" s="118"/>
      <c r="M144" s="250"/>
    </row>
    <row r="145" spans="1:14">
      <c r="A145" s="116"/>
      <c r="B145" s="98"/>
      <c r="C145" s="249"/>
      <c r="D145" s="116"/>
      <c r="E145" s="116"/>
      <c r="F145" s="118"/>
      <c r="L145" s="118"/>
      <c r="M145" s="250"/>
    </row>
    <row r="146" spans="1:14">
      <c r="A146" s="116"/>
      <c r="B146" s="98"/>
      <c r="C146" s="249"/>
      <c r="D146" s="116"/>
      <c r="E146" s="116"/>
      <c r="F146" s="118"/>
      <c r="L146" s="118"/>
      <c r="M146" s="250"/>
    </row>
    <row r="147" spans="1:14">
      <c r="A147" s="116"/>
      <c r="B147" s="98"/>
      <c r="C147" s="249"/>
      <c r="D147" s="116"/>
      <c r="E147" s="116"/>
      <c r="F147" s="118"/>
      <c r="L147" s="118"/>
      <c r="M147" s="250"/>
    </row>
    <row r="148" spans="1:14">
      <c r="B148" s="1085" t="s">
        <v>0</v>
      </c>
      <c r="C148" s="1085"/>
      <c r="D148" s="1085"/>
      <c r="E148" s="1085"/>
      <c r="F148" s="1085"/>
      <c r="G148" s="1085"/>
      <c r="H148" s="1085"/>
      <c r="I148" s="1085"/>
      <c r="J148" s="1085"/>
      <c r="K148" s="1085"/>
      <c r="L148" s="1085"/>
      <c r="M148" s="1085"/>
      <c r="N148" s="1085"/>
    </row>
    <row r="149" spans="1:14">
      <c r="B149" s="1079" t="s">
        <v>1</v>
      </c>
      <c r="C149" s="1079"/>
      <c r="D149" s="1079"/>
      <c r="E149" s="1079"/>
      <c r="F149" s="1079"/>
      <c r="G149" s="1079"/>
      <c r="H149" s="1079"/>
      <c r="I149" s="1079"/>
      <c r="J149" s="1079"/>
      <c r="K149" s="1079"/>
      <c r="L149" s="1079"/>
      <c r="M149" s="1079"/>
      <c r="N149" s="1079"/>
    </row>
    <row r="150" spans="1:14">
      <c r="B150" s="5" t="s">
        <v>3</v>
      </c>
      <c r="C150" s="1099" t="s">
        <v>118</v>
      </c>
      <c r="D150" s="1099"/>
      <c r="E150" s="1099"/>
      <c r="F150" s="1099"/>
      <c r="G150" s="1099"/>
      <c r="H150" s="1099"/>
      <c r="I150" s="1099"/>
      <c r="J150" s="7"/>
      <c r="K150" s="7"/>
      <c r="L150" s="5" t="s">
        <v>5</v>
      </c>
      <c r="M150" s="131">
        <v>19236531.640000001</v>
      </c>
      <c r="N150" s="131">
        <v>19236531.640000001</v>
      </c>
    </row>
    <row r="151" spans="1:14">
      <c r="B151" s="5" t="s">
        <v>7</v>
      </c>
      <c r="C151" s="9">
        <v>2</v>
      </c>
      <c r="D151" s="7"/>
      <c r="E151" s="10"/>
      <c r="F151" s="10"/>
      <c r="G151" s="10"/>
      <c r="H151" s="7"/>
      <c r="I151" s="7"/>
      <c r="J151" s="7"/>
      <c r="K151" s="7"/>
      <c r="L151" s="5" t="s">
        <v>8</v>
      </c>
      <c r="M151" s="131">
        <f>M150*0.2</f>
        <v>3847306.3280000002</v>
      </c>
      <c r="N151" s="254"/>
    </row>
    <row r="152" spans="1:14">
      <c r="B152" s="5" t="s">
        <v>9</v>
      </c>
      <c r="C152" s="9" t="s">
        <v>119</v>
      </c>
      <c r="D152" s="10"/>
      <c r="E152" s="10"/>
      <c r="F152" s="10"/>
      <c r="G152" s="11"/>
      <c r="H152" s="7"/>
      <c r="I152" s="7"/>
      <c r="J152" s="7"/>
      <c r="K152" s="7"/>
      <c r="L152" s="5" t="s">
        <v>12</v>
      </c>
      <c r="M152" s="132" t="s">
        <v>120</v>
      </c>
      <c r="N152" s="255"/>
    </row>
    <row r="153" spans="1:14">
      <c r="B153" s="5" t="s">
        <v>14</v>
      </c>
      <c r="C153" s="1085" t="s">
        <v>181</v>
      </c>
      <c r="D153" s="1085"/>
      <c r="E153" s="10"/>
      <c r="F153" s="10"/>
      <c r="G153" s="10"/>
      <c r="H153" s="7"/>
      <c r="I153" s="7"/>
      <c r="J153" s="7"/>
      <c r="K153" s="7"/>
      <c r="L153" s="7"/>
      <c r="M153" s="7"/>
      <c r="N153" s="255"/>
    </row>
    <row r="154" spans="1:14">
      <c r="C154" s="5"/>
      <c r="D154" s="10"/>
      <c r="E154" s="10"/>
      <c r="F154" s="10"/>
      <c r="G154" s="10"/>
      <c r="H154" s="7"/>
      <c r="I154" s="7"/>
      <c r="J154" s="7"/>
      <c r="K154" s="7"/>
      <c r="L154" s="7"/>
      <c r="M154" s="159" t="s">
        <v>182</v>
      </c>
      <c r="N154" s="255"/>
    </row>
    <row r="155" spans="1:14">
      <c r="B155" s="5"/>
      <c r="C155" s="5"/>
      <c r="D155" s="10"/>
      <c r="E155" s="1097" t="s">
        <v>90</v>
      </c>
      <c r="F155" s="1097"/>
      <c r="G155" s="256"/>
      <c r="H155" s="1100" t="s">
        <v>25</v>
      </c>
      <c r="I155" s="1100"/>
      <c r="J155" s="1097" t="s">
        <v>26</v>
      </c>
      <c r="K155" s="1097"/>
      <c r="L155" s="1097" t="s">
        <v>27</v>
      </c>
      <c r="M155" s="1097"/>
      <c r="N155" s="255"/>
    </row>
    <row r="156" spans="1:14">
      <c r="B156" s="10" t="s">
        <v>91</v>
      </c>
      <c r="C156" s="10"/>
      <c r="D156" s="10"/>
      <c r="E156" s="1097">
        <f>F123+F126</f>
        <v>12946613.9967274</v>
      </c>
      <c r="F156" s="1097"/>
      <c r="G156" s="97"/>
      <c r="H156" s="1097">
        <f>K123</f>
        <v>6126030.0536000002</v>
      </c>
      <c r="I156" s="1097"/>
      <c r="J156" s="1091">
        <f>L123</f>
        <v>3007846.0980000002</v>
      </c>
      <c r="K156" s="1091"/>
      <c r="L156" s="1097">
        <f>H156+J156</f>
        <v>9133876.1515999995</v>
      </c>
      <c r="M156" s="1097"/>
      <c r="N156" s="255"/>
    </row>
    <row r="157" spans="1:14">
      <c r="B157" s="9"/>
      <c r="C157" s="5"/>
      <c r="D157" s="10"/>
      <c r="E157" s="97"/>
      <c r="F157" s="97"/>
      <c r="G157" s="97"/>
      <c r="H157" s="1090"/>
      <c r="I157" s="1090"/>
      <c r="J157" s="136"/>
      <c r="K157" s="136"/>
      <c r="L157" s="136"/>
      <c r="M157" s="136"/>
      <c r="N157" s="255"/>
    </row>
    <row r="158" spans="1:14">
      <c r="B158" s="9" t="s">
        <v>93</v>
      </c>
      <c r="C158" s="5"/>
      <c r="D158" s="10"/>
      <c r="E158" s="97"/>
      <c r="F158" s="97"/>
      <c r="G158" s="97"/>
      <c r="H158" s="1090"/>
      <c r="I158" s="1090"/>
      <c r="J158" s="136"/>
      <c r="K158" s="136"/>
      <c r="L158" s="136"/>
      <c r="M158" s="136"/>
      <c r="N158" s="255"/>
    </row>
    <row r="159" spans="1:14">
      <c r="B159" s="9" t="s">
        <v>94</v>
      </c>
      <c r="C159" s="257"/>
      <c r="D159" s="139"/>
      <c r="E159" s="1091"/>
      <c r="F159" s="1091"/>
      <c r="G159" s="141"/>
      <c r="H159" s="1091"/>
      <c r="I159" s="1091"/>
      <c r="J159" s="1097"/>
      <c r="K159" s="1097"/>
      <c r="L159" s="1091"/>
      <c r="M159" s="1091"/>
      <c r="N159" s="255"/>
    </row>
    <row r="160" spans="1:14">
      <c r="B160" s="10" t="s">
        <v>95</v>
      </c>
      <c r="C160" s="257"/>
      <c r="D160" s="142">
        <v>0.04</v>
      </c>
      <c r="E160" s="1091">
        <f>D160*E156</f>
        <v>517864.55986909597</v>
      </c>
      <c r="F160" s="1091"/>
      <c r="G160" s="141"/>
      <c r="H160" s="1091">
        <f>H156*D160</f>
        <v>245041.20214400001</v>
      </c>
      <c r="I160" s="1091"/>
      <c r="J160" s="1097">
        <f>J156*D160</f>
        <v>120313.84392000001</v>
      </c>
      <c r="K160" s="1097"/>
      <c r="L160" s="1097">
        <f t="shared" ref="L160:L166" si="38">H160+J160</f>
        <v>365355.04606399999</v>
      </c>
      <c r="M160" s="1097"/>
      <c r="N160" s="255"/>
    </row>
    <row r="161" spans="2:14">
      <c r="B161" s="10" t="s">
        <v>96</v>
      </c>
      <c r="C161" s="257"/>
      <c r="D161" s="144">
        <v>0.1</v>
      </c>
      <c r="E161" s="1091">
        <f>D161*E156</f>
        <v>1294661.3996727401</v>
      </c>
      <c r="F161" s="1091"/>
      <c r="G161" s="141"/>
      <c r="H161" s="1091">
        <f>H156*D161</f>
        <v>612603.00536000007</v>
      </c>
      <c r="I161" s="1091"/>
      <c r="J161" s="1097">
        <f>J156*D161</f>
        <v>300784.60980000003</v>
      </c>
      <c r="K161" s="1097"/>
      <c r="L161" s="1097">
        <f t="shared" si="38"/>
        <v>913387.61516000004</v>
      </c>
      <c r="M161" s="1097"/>
      <c r="N161" s="255"/>
    </row>
    <row r="162" spans="2:14">
      <c r="B162" s="10" t="s">
        <v>97</v>
      </c>
      <c r="C162" s="257"/>
      <c r="D162" s="144">
        <v>0.18</v>
      </c>
      <c r="E162" s="1091">
        <f>D162*E161</f>
        <v>233039.0519410932</v>
      </c>
      <c r="F162" s="1091"/>
      <c r="G162" s="141"/>
      <c r="H162" s="1091">
        <f>H161*D162</f>
        <v>110268.54096480001</v>
      </c>
      <c r="I162" s="1091"/>
      <c r="J162" s="1097">
        <f>J161*D162</f>
        <v>54141.229764000003</v>
      </c>
      <c r="K162" s="1097"/>
      <c r="L162" s="1097">
        <f t="shared" si="38"/>
        <v>164409.77072880001</v>
      </c>
      <c r="M162" s="1097"/>
      <c r="N162" s="255"/>
    </row>
    <row r="163" spans="2:14">
      <c r="B163" s="10" t="s">
        <v>98</v>
      </c>
      <c r="C163" s="258"/>
      <c r="D163" s="145">
        <v>4.4999999999999998E-2</v>
      </c>
      <c r="E163" s="1091">
        <f>D163*E156</f>
        <v>582597.62985273299</v>
      </c>
      <c r="F163" s="1091"/>
      <c r="G163" s="141"/>
      <c r="H163" s="1091">
        <f>H156*D163</f>
        <v>275671.35241200001</v>
      </c>
      <c r="I163" s="1091"/>
      <c r="J163" s="1097">
        <f>J156*D163</f>
        <v>135353.07441</v>
      </c>
      <c r="K163" s="1097"/>
      <c r="L163" s="1097">
        <f t="shared" si="38"/>
        <v>411024.42682200001</v>
      </c>
      <c r="M163" s="1097"/>
      <c r="N163" s="255"/>
    </row>
    <row r="164" spans="2:14">
      <c r="B164" s="10" t="s">
        <v>99</v>
      </c>
      <c r="C164" s="257"/>
      <c r="D164" s="139">
        <v>0.03</v>
      </c>
      <c r="E164" s="1091">
        <f>D164*E156</f>
        <v>388398.419901822</v>
      </c>
      <c r="F164" s="1091"/>
      <c r="G164" s="141"/>
      <c r="H164" s="1091">
        <f>H156*D164</f>
        <v>183780.90160799999</v>
      </c>
      <c r="I164" s="1091"/>
      <c r="J164" s="1097">
        <f>J156*D164</f>
        <v>90235.38294000001</v>
      </c>
      <c r="K164" s="1097"/>
      <c r="L164" s="1097">
        <f t="shared" si="38"/>
        <v>274016.28454799997</v>
      </c>
      <c r="M164" s="1097"/>
      <c r="N164" s="255"/>
    </row>
    <row r="165" spans="2:14">
      <c r="B165" s="10" t="s">
        <v>100</v>
      </c>
      <c r="C165" s="257"/>
      <c r="D165" s="144">
        <v>0.01</v>
      </c>
      <c r="E165" s="1091">
        <f>D165*E156</f>
        <v>129466.13996727399</v>
      </c>
      <c r="F165" s="1091"/>
      <c r="G165" s="141"/>
      <c r="H165" s="1091">
        <f>H156*D165</f>
        <v>61260.300536000002</v>
      </c>
      <c r="I165" s="1091"/>
      <c r="J165" s="1097">
        <f>J156*D165</f>
        <v>30078.460980000003</v>
      </c>
      <c r="K165" s="1097"/>
      <c r="L165" s="1097">
        <f t="shared" si="38"/>
        <v>91338.761515999999</v>
      </c>
      <c r="M165" s="1097"/>
      <c r="N165" s="255"/>
    </row>
    <row r="166" spans="2:14">
      <c r="B166" s="10" t="s">
        <v>101</v>
      </c>
      <c r="C166" s="257"/>
      <c r="D166" s="139">
        <v>1E-3</v>
      </c>
      <c r="E166" s="1091">
        <f>D166*E156</f>
        <v>12946.613996727399</v>
      </c>
      <c r="F166" s="1091"/>
      <c r="G166" s="141"/>
      <c r="H166" s="1091">
        <f>H156*D166</f>
        <v>6126.0300536000004</v>
      </c>
      <c r="I166" s="1091"/>
      <c r="J166" s="1097">
        <f>J156*D166</f>
        <v>3007.8460980000004</v>
      </c>
      <c r="K166" s="1097"/>
      <c r="L166" s="1097">
        <f t="shared" si="38"/>
        <v>9133.8761516000013</v>
      </c>
      <c r="M166" s="1097"/>
      <c r="N166" s="255"/>
    </row>
    <row r="167" spans="2:14">
      <c r="B167" s="10"/>
      <c r="C167" s="257"/>
      <c r="D167" s="259"/>
      <c r="E167" s="1091"/>
      <c r="F167" s="1091"/>
      <c r="G167" s="141"/>
      <c r="H167" s="1091"/>
      <c r="I167" s="1091"/>
      <c r="J167" s="146"/>
      <c r="K167" s="146"/>
      <c r="L167" s="146"/>
      <c r="M167" s="147"/>
      <c r="N167" s="255"/>
    </row>
    <row r="168" spans="2:14">
      <c r="B168" s="10"/>
      <c r="C168" s="260"/>
      <c r="D168" s="144"/>
      <c r="E168" s="1091"/>
      <c r="F168" s="1091"/>
      <c r="G168" s="141"/>
      <c r="H168" s="1094"/>
      <c r="I168" s="1094"/>
      <c r="J168" s="1095"/>
      <c r="K168" s="1095"/>
      <c r="L168" s="1094"/>
      <c r="M168" s="1094"/>
      <c r="N168" s="255"/>
    </row>
    <row r="169" spans="2:14">
      <c r="B169" s="10"/>
      <c r="C169" s="260"/>
      <c r="D169" s="151"/>
      <c r="E169" s="1091"/>
      <c r="F169" s="1091"/>
      <c r="G169" s="141"/>
      <c r="H169" s="149"/>
      <c r="I169" s="149"/>
      <c r="J169" s="1101"/>
      <c r="K169" s="1101"/>
      <c r="L169" s="1097">
        <f>H169+J169</f>
        <v>0</v>
      </c>
      <c r="M169" s="1097"/>
      <c r="N169" s="255"/>
    </row>
    <row r="170" spans="2:14">
      <c r="B170" s="10"/>
      <c r="C170" s="260"/>
      <c r="D170" s="144"/>
      <c r="E170" s="1091"/>
      <c r="F170" s="1091"/>
      <c r="G170" s="141"/>
      <c r="H170" s="149"/>
      <c r="I170" s="149"/>
      <c r="J170" s="1101"/>
      <c r="K170" s="1101"/>
      <c r="L170" s="1097">
        <f>H170+J170</f>
        <v>0</v>
      </c>
      <c r="M170" s="1097"/>
      <c r="N170" s="255"/>
    </row>
    <row r="171" spans="2:14">
      <c r="B171" s="10"/>
      <c r="C171" s="260"/>
      <c r="D171" s="144"/>
      <c r="E171" s="140"/>
      <c r="F171" s="140"/>
      <c r="G171" s="141"/>
      <c r="H171" s="149"/>
      <c r="I171" s="149"/>
      <c r="J171" s="150"/>
      <c r="K171" s="150"/>
      <c r="L171" s="149"/>
      <c r="M171" s="149"/>
      <c r="N171" s="255"/>
    </row>
    <row r="172" spans="2:14">
      <c r="B172" s="152" t="s">
        <v>183</v>
      </c>
      <c r="C172" s="258"/>
      <c r="D172" s="127"/>
      <c r="E172" s="1091">
        <f>SUM(E160:F171)</f>
        <v>3158973.8152014855</v>
      </c>
      <c r="F172" s="1091"/>
      <c r="G172" s="141"/>
      <c r="H172" s="1091">
        <f>SUM(H160:I171)</f>
        <v>1494751.3330784</v>
      </c>
      <c r="I172" s="1091"/>
      <c r="J172" s="1097">
        <f>SUM(J160:K170)</f>
        <v>733914.447912</v>
      </c>
      <c r="K172" s="1097"/>
      <c r="L172" s="1091">
        <f>SUM(L160:M168)</f>
        <v>2228665.7809904004</v>
      </c>
      <c r="M172" s="1091"/>
      <c r="N172" s="255"/>
    </row>
    <row r="173" spans="2:14">
      <c r="B173" s="10"/>
      <c r="C173" s="261"/>
      <c r="D173" s="156"/>
      <c r="E173" s="1094"/>
      <c r="F173" s="1094"/>
      <c r="G173" s="141"/>
      <c r="H173" s="1095"/>
      <c r="I173" s="1095"/>
      <c r="J173" s="1095"/>
      <c r="K173" s="1095"/>
      <c r="L173" s="1094"/>
      <c r="M173" s="1094"/>
      <c r="N173" s="255"/>
    </row>
    <row r="174" spans="2:14">
      <c r="B174" s="157" t="s">
        <v>105</v>
      </c>
      <c r="C174" s="262"/>
      <c r="D174" s="159"/>
      <c r="E174" s="1091">
        <f>E156+E172</f>
        <v>16105587.811928885</v>
      </c>
      <c r="F174" s="1091"/>
      <c r="G174" s="263"/>
      <c r="H174" s="1091">
        <f>H156+H172</f>
        <v>7620781.3866784004</v>
      </c>
      <c r="I174" s="1091"/>
      <c r="J174" s="1097">
        <f>J172+J156</f>
        <v>3741760.5459120004</v>
      </c>
      <c r="K174" s="1097"/>
      <c r="L174" s="1097">
        <f>H174+J174</f>
        <v>11362541.932590401</v>
      </c>
      <c r="M174" s="1097"/>
      <c r="N174" s="255">
        <f>L174/N150</f>
        <v>0.59067518746276448</v>
      </c>
    </row>
    <row r="175" spans="2:14">
      <c r="B175" s="161" t="s">
        <v>106</v>
      </c>
      <c r="C175" s="258"/>
      <c r="E175" s="136"/>
      <c r="F175" s="136"/>
      <c r="G175" s="136"/>
      <c r="H175" s="136"/>
      <c r="I175" s="136"/>
      <c r="J175" s="136"/>
      <c r="K175" s="136"/>
      <c r="L175" s="1090"/>
      <c r="M175" s="1090"/>
      <c r="N175" s="255"/>
    </row>
    <row r="176" spans="2:14">
      <c r="B176" s="10"/>
      <c r="C176" s="209"/>
      <c r="D176" s="144"/>
      <c r="E176" s="136"/>
      <c r="F176" s="97"/>
      <c r="G176" s="136"/>
      <c r="H176" s="1097"/>
      <c r="I176" s="1097"/>
      <c r="J176" s="1097"/>
      <c r="K176" s="1097"/>
      <c r="L176" s="1097"/>
      <c r="M176" s="1097"/>
      <c r="N176" s="255"/>
    </row>
    <row r="177" spans="2:14">
      <c r="B177" s="9"/>
      <c r="C177" s="209"/>
      <c r="D177" s="139"/>
      <c r="E177" s="136"/>
      <c r="F177" s="136"/>
      <c r="G177" s="136"/>
      <c r="H177" s="1097"/>
      <c r="I177" s="1097"/>
      <c r="J177" s="1097"/>
      <c r="K177" s="1097"/>
      <c r="L177" s="1097"/>
      <c r="M177" s="1097"/>
    </row>
    <row r="178" spans="2:14">
      <c r="B178" s="9" t="s">
        <v>107</v>
      </c>
      <c r="C178" s="209"/>
      <c r="D178" s="163">
        <v>0.2</v>
      </c>
      <c r="E178" s="135"/>
      <c r="F178" s="135"/>
      <c r="G178" s="135"/>
      <c r="H178" s="1091"/>
      <c r="I178" s="1091"/>
      <c r="J178" s="1097"/>
      <c r="K178" s="1097"/>
      <c r="L178" s="1097"/>
      <c r="M178" s="1097"/>
    </row>
    <row r="179" spans="2:14">
      <c r="C179" s="253"/>
      <c r="E179" s="135"/>
      <c r="F179" s="135"/>
      <c r="G179" s="135"/>
      <c r="H179" s="1102">
        <f>H174*D178</f>
        <v>1524156.2773356801</v>
      </c>
      <c r="I179" s="1102"/>
      <c r="J179" s="1097">
        <f>J174*D178</f>
        <v>748352.10918240016</v>
      </c>
      <c r="K179" s="1097"/>
      <c r="L179" s="1097"/>
      <c r="M179" s="1097"/>
    </row>
    <row r="180" spans="2:14">
      <c r="C180" s="253"/>
      <c r="E180" s="135"/>
      <c r="F180" s="135"/>
      <c r="G180" s="135"/>
      <c r="H180" s="164"/>
      <c r="I180" s="136"/>
      <c r="J180" s="135"/>
      <c r="K180" s="150"/>
      <c r="L180" s="150"/>
      <c r="M180" s="150"/>
    </row>
    <row r="181" spans="2:14">
      <c r="B181" s="9" t="s">
        <v>184</v>
      </c>
      <c r="C181" s="209"/>
      <c r="D181" s="159"/>
      <c r="E181" s="135"/>
      <c r="F181" s="135"/>
      <c r="G181" s="135"/>
      <c r="H181" s="1091">
        <f>H174-H179</f>
        <v>6096625.1093427204</v>
      </c>
      <c r="I181" s="1091"/>
      <c r="J181" s="1103">
        <f>J174-J179</f>
        <v>2993408.4367296002</v>
      </c>
      <c r="K181" s="1103"/>
      <c r="L181" s="1097">
        <f>H181+J181</f>
        <v>9090033.546072321</v>
      </c>
      <c r="M181" s="1097"/>
      <c r="N181" s="255"/>
    </row>
    <row r="182" spans="2:14">
      <c r="B182" s="9"/>
      <c r="C182" s="209"/>
      <c r="D182" s="159"/>
      <c r="E182" s="135"/>
      <c r="F182" s="135"/>
      <c r="G182" s="135"/>
      <c r="H182" s="140"/>
      <c r="I182" s="140"/>
      <c r="J182" s="162"/>
      <c r="K182" s="162"/>
      <c r="L182" s="162"/>
      <c r="M182" s="162"/>
      <c r="N182" s="255"/>
    </row>
    <row r="183" spans="2:14">
      <c r="B183" s="9"/>
      <c r="C183" s="209"/>
      <c r="D183" s="159"/>
      <c r="E183" s="135"/>
      <c r="F183" s="135"/>
      <c r="G183" s="135"/>
      <c r="H183" s="164"/>
      <c r="I183" s="136"/>
      <c r="J183" s="135"/>
      <c r="K183" s="150"/>
      <c r="L183" s="150"/>
      <c r="M183" s="150"/>
      <c r="N183" s="255"/>
    </row>
    <row r="184" spans="2:14">
      <c r="B184" s="9"/>
      <c r="C184" s="1085" t="s">
        <v>109</v>
      </c>
      <c r="D184" s="1085"/>
      <c r="E184" s="1085"/>
      <c r="F184" s="127"/>
      <c r="G184" s="1085" t="s">
        <v>110</v>
      </c>
      <c r="H184" s="1085"/>
      <c r="I184" s="1085"/>
      <c r="J184" s="127"/>
      <c r="K184" s="1085" t="s">
        <v>111</v>
      </c>
      <c r="L184" s="1085"/>
      <c r="M184" s="1085"/>
      <c r="N184" s="255"/>
    </row>
    <row r="185" spans="2:14">
      <c r="B185" s="9"/>
      <c r="C185" s="5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255"/>
    </row>
    <row r="186" spans="2:14">
      <c r="B186" s="127"/>
      <c r="C186" s="1085" t="s">
        <v>112</v>
      </c>
      <c r="D186" s="1085"/>
      <c r="E186" s="1085"/>
      <c r="F186" s="127"/>
      <c r="G186" s="127"/>
      <c r="H186" s="127" t="s">
        <v>113</v>
      </c>
      <c r="I186" s="127"/>
      <c r="J186" s="127"/>
      <c r="K186" s="143" t="s">
        <v>114</v>
      </c>
      <c r="L186" s="143"/>
      <c r="N186" s="255"/>
    </row>
    <row r="187" spans="2:14">
      <c r="B187" s="127"/>
      <c r="C187" s="1085" t="s">
        <v>115</v>
      </c>
      <c r="D187" s="1085"/>
      <c r="E187" s="1085"/>
      <c r="F187" s="127"/>
      <c r="G187" s="127"/>
      <c r="H187" s="127" t="s">
        <v>116</v>
      </c>
      <c r="I187" s="127"/>
      <c r="J187" s="127"/>
      <c r="K187" s="127" t="s">
        <v>117</v>
      </c>
      <c r="L187" s="127"/>
      <c r="M187" s="159"/>
      <c r="N187" s="143"/>
    </row>
    <row r="188" spans="2:14">
      <c r="C188" s="253"/>
    </row>
    <row r="189" spans="2:14">
      <c r="C189" s="253"/>
    </row>
    <row r="190" spans="2:14">
      <c r="C190" s="253"/>
    </row>
  </sheetData>
  <mergeCells count="97">
    <mergeCell ref="C184:E184"/>
    <mergeCell ref="G184:I184"/>
    <mergeCell ref="K184:M184"/>
    <mergeCell ref="C186:E186"/>
    <mergeCell ref="C187:E187"/>
    <mergeCell ref="H179:I179"/>
    <mergeCell ref="J179:K179"/>
    <mergeCell ref="L179:M179"/>
    <mergeCell ref="H181:I181"/>
    <mergeCell ref="J181:K181"/>
    <mergeCell ref="L181:M181"/>
    <mergeCell ref="H177:I177"/>
    <mergeCell ref="J177:K177"/>
    <mergeCell ref="L177:M177"/>
    <mergeCell ref="H178:I178"/>
    <mergeCell ref="J178:K178"/>
    <mergeCell ref="L178:M178"/>
    <mergeCell ref="H176:I176"/>
    <mergeCell ref="J176:K176"/>
    <mergeCell ref="L176:M176"/>
    <mergeCell ref="E172:F172"/>
    <mergeCell ref="H172:I172"/>
    <mergeCell ref="J172:K172"/>
    <mergeCell ref="L172:M172"/>
    <mergeCell ref="E173:F173"/>
    <mergeCell ref="H173:I173"/>
    <mergeCell ref="J173:K173"/>
    <mergeCell ref="L173:M173"/>
    <mergeCell ref="E174:F174"/>
    <mergeCell ref="H174:I174"/>
    <mergeCell ref="J174:K174"/>
    <mergeCell ref="L174:M174"/>
    <mergeCell ref="L175:M175"/>
    <mergeCell ref="E169:F169"/>
    <mergeCell ref="J169:K169"/>
    <mergeCell ref="L169:M169"/>
    <mergeCell ref="E170:F170"/>
    <mergeCell ref="J170:K170"/>
    <mergeCell ref="L170:M170"/>
    <mergeCell ref="L168:M168"/>
    <mergeCell ref="E165:F165"/>
    <mergeCell ref="H165:I165"/>
    <mergeCell ref="J165:K165"/>
    <mergeCell ref="L165:M165"/>
    <mergeCell ref="E166:F166"/>
    <mergeCell ref="H166:I166"/>
    <mergeCell ref="J166:K166"/>
    <mergeCell ref="L166:M166"/>
    <mergeCell ref="E167:F167"/>
    <mergeCell ref="H167:I167"/>
    <mergeCell ref="E168:F168"/>
    <mergeCell ref="H168:I168"/>
    <mergeCell ref="J168:K168"/>
    <mergeCell ref="E163:F163"/>
    <mergeCell ref="H163:I163"/>
    <mergeCell ref="J163:K163"/>
    <mergeCell ref="L163:M163"/>
    <mergeCell ref="E164:F164"/>
    <mergeCell ref="H164:I164"/>
    <mergeCell ref="J164:K164"/>
    <mergeCell ref="L164:M164"/>
    <mergeCell ref="E161:F161"/>
    <mergeCell ref="H161:I161"/>
    <mergeCell ref="J161:K161"/>
    <mergeCell ref="L161:M161"/>
    <mergeCell ref="E162:F162"/>
    <mergeCell ref="H162:I162"/>
    <mergeCell ref="J162:K162"/>
    <mergeCell ref="L162:M162"/>
    <mergeCell ref="E159:F159"/>
    <mergeCell ref="H159:I159"/>
    <mergeCell ref="J159:K159"/>
    <mergeCell ref="L159:M159"/>
    <mergeCell ref="E160:F160"/>
    <mergeCell ref="H160:I160"/>
    <mergeCell ref="J160:K160"/>
    <mergeCell ref="L160:M160"/>
    <mergeCell ref="H158:I158"/>
    <mergeCell ref="B148:N148"/>
    <mergeCell ref="B149:N149"/>
    <mergeCell ref="C150:I150"/>
    <mergeCell ref="C153:D153"/>
    <mergeCell ref="E155:F155"/>
    <mergeCell ref="H155:I155"/>
    <mergeCell ref="J155:K155"/>
    <mergeCell ref="L155:M155"/>
    <mergeCell ref="E156:F156"/>
    <mergeCell ref="H156:I156"/>
    <mergeCell ref="J156:K156"/>
    <mergeCell ref="L156:M156"/>
    <mergeCell ref="H157:I157"/>
    <mergeCell ref="A3:M3"/>
    <mergeCell ref="A4:M4"/>
    <mergeCell ref="C6:I6"/>
    <mergeCell ref="A10:F10"/>
    <mergeCell ref="G10:J10"/>
    <mergeCell ref="K10:M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F373-AEF2-4EBC-A7A6-BE3724334065}">
  <sheetPr codeName="Hoja3"/>
  <dimension ref="A1:N198"/>
  <sheetViews>
    <sheetView topLeftCell="A159" workbookViewId="0">
      <selection activeCell="C202" sqref="C202"/>
    </sheetView>
  </sheetViews>
  <sheetFormatPr baseColWidth="10" defaultRowHeight="15"/>
  <cols>
    <col min="1" max="1" width="10.42578125" customWidth="1"/>
    <col min="2" max="2" width="26.5703125" customWidth="1"/>
    <col min="3" max="3" width="15.5703125" bestFit="1" customWidth="1"/>
    <col min="4" max="4" width="13.42578125" style="395" customWidth="1"/>
    <col min="5" max="5" width="12.28515625" style="137" customWidth="1"/>
    <col min="6" max="6" width="14.5703125" style="137" bestFit="1" customWidth="1"/>
    <col min="8" max="8" width="14" customWidth="1"/>
    <col min="9" max="9" width="18.85546875" customWidth="1"/>
    <col min="11" max="12" width="21.140625" customWidth="1"/>
    <col min="13" max="13" width="21.42578125" customWidth="1"/>
  </cols>
  <sheetData>
    <row r="1" spans="1:13">
      <c r="A1" s="1085" t="s">
        <v>0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</row>
    <row r="2" spans="1:13">
      <c r="A2" s="1079" t="s">
        <v>1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</row>
    <row r="3" spans="1:13">
      <c r="A3" s="2"/>
      <c r="B3" s="2"/>
      <c r="C3" s="2"/>
      <c r="D3" s="264"/>
      <c r="E3" s="265"/>
      <c r="F3" s="265"/>
      <c r="G3" s="2"/>
      <c r="H3" s="2"/>
      <c r="I3" s="2"/>
      <c r="J3" s="2"/>
      <c r="K3" s="2"/>
      <c r="L3" s="2"/>
      <c r="M3" s="159" t="s">
        <v>2</v>
      </c>
    </row>
    <row r="4" spans="1:13">
      <c r="A4" s="127"/>
      <c r="B4" s="127"/>
      <c r="C4" s="127"/>
      <c r="D4" s="266"/>
      <c r="E4" s="162"/>
      <c r="F4" s="162"/>
      <c r="G4" s="127"/>
      <c r="H4" s="127"/>
      <c r="I4" s="127"/>
      <c r="J4" s="127"/>
      <c r="K4" s="127"/>
      <c r="L4" s="127"/>
      <c r="M4" s="7"/>
    </row>
    <row r="5" spans="1:13">
      <c r="A5" s="7"/>
      <c r="B5" s="5" t="s">
        <v>3</v>
      </c>
      <c r="C5" s="10" t="s">
        <v>185</v>
      </c>
      <c r="D5" s="267"/>
      <c r="E5" s="97"/>
      <c r="F5" s="97"/>
      <c r="G5" s="268"/>
      <c r="H5" s="7"/>
      <c r="I5" s="7"/>
      <c r="J5" s="7"/>
      <c r="K5" s="7"/>
      <c r="L5" s="5" t="s">
        <v>5</v>
      </c>
      <c r="M5" s="131" t="s">
        <v>186</v>
      </c>
    </row>
    <row r="6" spans="1:13">
      <c r="A6" s="7"/>
      <c r="B6" s="5" t="s">
        <v>7</v>
      </c>
      <c r="C6" s="9">
        <v>1</v>
      </c>
      <c r="D6" s="269"/>
      <c r="E6" s="97"/>
      <c r="F6" s="97"/>
      <c r="G6" s="10">
        <f>I6/D13</f>
        <v>79.956499999999991</v>
      </c>
      <c r="H6" s="7"/>
      <c r="I6" s="7">
        <v>103943.45</v>
      </c>
      <c r="J6" s="7"/>
      <c r="K6" s="7"/>
      <c r="L6" s="5" t="s">
        <v>8</v>
      </c>
      <c r="M6" s="131" t="s">
        <v>187</v>
      </c>
    </row>
    <row r="7" spans="1:13">
      <c r="A7" s="7"/>
      <c r="B7" s="5" t="s">
        <v>9</v>
      </c>
      <c r="C7" s="270" t="s">
        <v>188</v>
      </c>
      <c r="D7" s="267"/>
      <c r="E7" s="97"/>
      <c r="F7" s="97"/>
      <c r="G7" s="11"/>
      <c r="H7" s="7"/>
      <c r="I7" s="7"/>
      <c r="J7" s="7"/>
      <c r="K7" s="7"/>
      <c r="L7" s="5" t="s">
        <v>12</v>
      </c>
      <c r="M7" s="132" t="s">
        <v>189</v>
      </c>
    </row>
    <row r="8" spans="1:13">
      <c r="A8" s="7"/>
      <c r="B8" s="5" t="s">
        <v>14</v>
      </c>
      <c r="C8" s="10" t="s">
        <v>190</v>
      </c>
      <c r="D8" s="267"/>
      <c r="E8" s="97"/>
      <c r="F8" s="97"/>
      <c r="G8" s="10"/>
      <c r="H8" s="7"/>
      <c r="I8" s="7"/>
      <c r="J8" s="7"/>
      <c r="K8" s="7"/>
      <c r="L8" s="7"/>
      <c r="M8" s="7"/>
    </row>
    <row r="9" spans="1:13">
      <c r="A9" s="1105" t="s">
        <v>191</v>
      </c>
      <c r="B9" s="1105"/>
      <c r="C9" s="1105"/>
      <c r="D9" s="1105"/>
      <c r="E9" s="1105"/>
      <c r="F9" s="1105"/>
      <c r="G9" s="1083" t="s">
        <v>17</v>
      </c>
      <c r="H9" s="1083"/>
      <c r="I9" s="1083"/>
      <c r="J9" s="1083"/>
      <c r="K9" s="1084" t="s">
        <v>18</v>
      </c>
      <c r="L9" s="1084"/>
      <c r="M9" s="1084"/>
    </row>
    <row r="10" spans="1:13">
      <c r="A10" s="271" t="s">
        <v>19</v>
      </c>
      <c r="B10" s="272" t="s">
        <v>20</v>
      </c>
      <c r="C10" s="272" t="s">
        <v>21</v>
      </c>
      <c r="D10" s="273" t="s">
        <v>90</v>
      </c>
      <c r="E10" s="274" t="s">
        <v>23</v>
      </c>
      <c r="F10" s="274" t="s">
        <v>24</v>
      </c>
      <c r="G10" s="275" t="s">
        <v>25</v>
      </c>
      <c r="H10" s="275" t="s">
        <v>26</v>
      </c>
      <c r="I10" s="276" t="s">
        <v>27</v>
      </c>
      <c r="J10" s="277" t="s">
        <v>28</v>
      </c>
      <c r="K10" s="278" t="s">
        <v>25</v>
      </c>
      <c r="L10" s="279" t="s">
        <v>26</v>
      </c>
      <c r="M10" s="279" t="s">
        <v>27</v>
      </c>
    </row>
    <row r="11" spans="1:13">
      <c r="A11" s="175" t="s">
        <v>29</v>
      </c>
      <c r="B11" s="42" t="s">
        <v>192</v>
      </c>
      <c r="C11" s="33"/>
      <c r="D11" s="73"/>
      <c r="E11" s="110"/>
      <c r="F11" s="110"/>
      <c r="G11" s="176"/>
      <c r="H11" s="176"/>
      <c r="I11" s="280"/>
      <c r="J11" s="281"/>
      <c r="K11" s="282"/>
      <c r="L11" s="41"/>
      <c r="M11" s="41"/>
    </row>
    <row r="12" spans="1:13">
      <c r="A12" s="177">
        <v>1</v>
      </c>
      <c r="B12" s="33" t="s">
        <v>36</v>
      </c>
      <c r="C12" s="33"/>
      <c r="D12" s="283"/>
      <c r="E12" s="110"/>
      <c r="F12" s="110"/>
      <c r="G12" s="176"/>
      <c r="H12" s="284"/>
      <c r="I12" s="187"/>
      <c r="J12" s="285"/>
      <c r="K12" s="286"/>
      <c r="L12" s="41"/>
      <c r="M12" s="41"/>
    </row>
    <row r="13" spans="1:13" ht="24.75">
      <c r="A13" s="177">
        <v>1.01</v>
      </c>
      <c r="B13" s="33" t="s">
        <v>37</v>
      </c>
      <c r="C13" s="33" t="s">
        <v>38</v>
      </c>
      <c r="D13" s="283">
        <v>1300</v>
      </c>
      <c r="E13" s="110">
        <f>103943.45/D13</f>
        <v>79.956499999999991</v>
      </c>
      <c r="F13" s="110">
        <f>D13*E13</f>
        <v>103943.44999999998</v>
      </c>
      <c r="G13" s="176"/>
      <c r="H13" s="284">
        <v>380</v>
      </c>
      <c r="I13" s="187">
        <f>SUM(G13+H13)</f>
        <v>380</v>
      </c>
      <c r="J13" s="285">
        <f>I13/D13</f>
        <v>0.29230769230769232</v>
      </c>
      <c r="K13" s="286"/>
      <c r="L13" s="41">
        <f>H13*E13</f>
        <v>30383.469999999998</v>
      </c>
      <c r="M13" s="41">
        <f>K13+L13</f>
        <v>30383.469999999998</v>
      </c>
    </row>
    <row r="14" spans="1:13" ht="24.75">
      <c r="A14" s="177">
        <v>2</v>
      </c>
      <c r="B14" s="42" t="s">
        <v>193</v>
      </c>
      <c r="C14" s="77"/>
      <c r="D14" s="283"/>
      <c r="E14" s="110"/>
      <c r="F14" s="110"/>
      <c r="G14" s="176"/>
      <c r="H14" s="287"/>
      <c r="I14" s="187"/>
      <c r="J14" s="285"/>
      <c r="K14" s="286"/>
      <c r="L14" s="63">
        <f>SUM(L13)</f>
        <v>30383.469999999998</v>
      </c>
      <c r="M14" s="63">
        <f>K14+L14</f>
        <v>30383.469999999998</v>
      </c>
    </row>
    <row r="15" spans="1:13" ht="24.75">
      <c r="A15" s="177">
        <v>2.0099999999999998</v>
      </c>
      <c r="B15" s="33" t="s">
        <v>194</v>
      </c>
      <c r="C15" s="77" t="s">
        <v>38</v>
      </c>
      <c r="D15" s="283">
        <v>546</v>
      </c>
      <c r="E15" s="110">
        <f>1439249.08/D15</f>
        <v>2635.9873260073259</v>
      </c>
      <c r="F15" s="110">
        <f t="shared" ref="F15:F84" si="0">D15*E15</f>
        <v>1439249.0799999998</v>
      </c>
      <c r="G15" s="176"/>
      <c r="H15" s="287"/>
      <c r="I15" s="187"/>
      <c r="J15" s="285"/>
      <c r="K15" s="286"/>
      <c r="L15" s="41"/>
      <c r="M15" s="41"/>
    </row>
    <row r="16" spans="1:13" ht="24.75">
      <c r="A16" s="177">
        <v>2.02</v>
      </c>
      <c r="B16" s="33" t="s">
        <v>195</v>
      </c>
      <c r="C16" s="77" t="s">
        <v>38</v>
      </c>
      <c r="D16" s="283">
        <v>451.5</v>
      </c>
      <c r="E16" s="110">
        <f>2603697.11/D16</f>
        <v>5766.7710077519378</v>
      </c>
      <c r="F16" s="110">
        <f>D16*E16</f>
        <v>2603697.11</v>
      </c>
      <c r="G16" s="176"/>
      <c r="H16" s="284">
        <v>380</v>
      </c>
      <c r="I16" s="187">
        <f>SUM(G16+H16)</f>
        <v>380</v>
      </c>
      <c r="J16" s="285">
        <f>I16/D16</f>
        <v>0.84163898117386493</v>
      </c>
      <c r="K16" s="288"/>
      <c r="L16" s="41">
        <f>H16*E16</f>
        <v>2191372.9829457365</v>
      </c>
      <c r="M16" s="41">
        <f>K16+L16</f>
        <v>2191372.9829457365</v>
      </c>
    </row>
    <row r="17" spans="1:14" ht="24.75">
      <c r="A17" s="177">
        <v>2.0299999999999998</v>
      </c>
      <c r="B17" s="33" t="s">
        <v>196</v>
      </c>
      <c r="C17" s="77" t="s">
        <v>38</v>
      </c>
      <c r="D17" s="283">
        <v>367.5</v>
      </c>
      <c r="E17" s="110">
        <f>1836252.01/D17</f>
        <v>4996.6041088435377</v>
      </c>
      <c r="F17" s="110">
        <f t="shared" si="0"/>
        <v>1836252.01</v>
      </c>
      <c r="G17" s="176"/>
      <c r="H17" s="287"/>
      <c r="I17" s="187"/>
      <c r="J17" s="285"/>
      <c r="K17" s="282"/>
      <c r="L17" s="63">
        <f>SUM(L16)</f>
        <v>2191372.9829457365</v>
      </c>
      <c r="M17" s="63">
        <f>K17+L17</f>
        <v>2191372.9829457365</v>
      </c>
    </row>
    <row r="18" spans="1:14">
      <c r="A18" s="177"/>
      <c r="B18" s="42" t="s">
        <v>66</v>
      </c>
      <c r="C18" s="81"/>
      <c r="D18" s="289"/>
      <c r="E18" s="185"/>
      <c r="F18" s="185">
        <f>SUM(F13:F17)</f>
        <v>5983141.6499999994</v>
      </c>
      <c r="G18" s="176"/>
      <c r="H18" s="287"/>
      <c r="I18" s="187"/>
      <c r="J18" s="285"/>
      <c r="K18" s="282"/>
      <c r="L18" s="41"/>
      <c r="M18" s="41"/>
    </row>
    <row r="19" spans="1:14">
      <c r="A19" s="180">
        <v>3</v>
      </c>
      <c r="B19" s="42" t="s">
        <v>43</v>
      </c>
      <c r="C19" s="77"/>
      <c r="D19" s="283"/>
      <c r="E19" s="110"/>
      <c r="F19" s="110"/>
      <c r="G19" s="290"/>
      <c r="H19" s="287"/>
      <c r="I19" s="290"/>
      <c r="J19" s="285"/>
      <c r="K19" s="286"/>
      <c r="L19" s="41"/>
      <c r="M19" s="41"/>
    </row>
    <row r="20" spans="1:14">
      <c r="A20" s="177">
        <v>3.01</v>
      </c>
      <c r="B20" s="33" t="s">
        <v>44</v>
      </c>
      <c r="C20" s="77" t="s">
        <v>45</v>
      </c>
      <c r="D20" s="283">
        <v>1329.9</v>
      </c>
      <c r="E20" s="110">
        <f>343322.74/D20</f>
        <v>258.1568087826152</v>
      </c>
      <c r="F20" s="110">
        <f t="shared" si="0"/>
        <v>343322.74</v>
      </c>
      <c r="G20" s="290"/>
      <c r="H20" s="284">
        <f>H16*0.8*1.3</f>
        <v>395.2</v>
      </c>
      <c r="I20" s="187">
        <f>SUM(G20+H20)</f>
        <v>395.2</v>
      </c>
      <c r="J20" s="285">
        <f>I20/D20</f>
        <v>0.2971652003910068</v>
      </c>
      <c r="K20" s="286"/>
      <c r="L20" s="41">
        <f>H20*E20</f>
        <v>102023.57083088953</v>
      </c>
      <c r="M20" s="41">
        <f>K20+L20</f>
        <v>102023.57083088953</v>
      </c>
    </row>
    <row r="21" spans="1:14">
      <c r="A21" s="177">
        <v>3.02</v>
      </c>
      <c r="B21" s="33" t="s">
        <v>197</v>
      </c>
      <c r="C21" s="77" t="s">
        <v>45</v>
      </c>
      <c r="D21" s="283">
        <v>105.3</v>
      </c>
      <c r="E21" s="110">
        <f>135398.15/D21</f>
        <v>1285.8323836657171</v>
      </c>
      <c r="F21" s="110">
        <f t="shared" si="0"/>
        <v>135398.15</v>
      </c>
      <c r="G21" s="290"/>
      <c r="H21" s="284">
        <f>380*0.8*0.1</f>
        <v>30.400000000000002</v>
      </c>
      <c r="I21" s="187">
        <f>SUM(G21+H21)</f>
        <v>30.400000000000002</v>
      </c>
      <c r="J21" s="285">
        <f>I21/D21</f>
        <v>0.28869895536562207</v>
      </c>
      <c r="K21" s="286"/>
      <c r="L21" s="41">
        <f>H21*E21</f>
        <v>39089.304463437802</v>
      </c>
      <c r="M21" s="41">
        <f>K21+L21</f>
        <v>39089.304463437802</v>
      </c>
    </row>
    <row r="22" spans="1:14">
      <c r="A22" s="85">
        <v>3.03</v>
      </c>
      <c r="B22" s="33" t="s">
        <v>47</v>
      </c>
      <c r="C22" s="77" t="s">
        <v>45</v>
      </c>
      <c r="D22" s="283">
        <v>216.49</v>
      </c>
      <c r="E22" s="110">
        <f>43429.21/D22</f>
        <v>200.60607880271604</v>
      </c>
      <c r="F22" s="110">
        <f t="shared" si="0"/>
        <v>43429.21</v>
      </c>
      <c r="G22" s="290"/>
      <c r="H22" s="290">
        <v>98.8</v>
      </c>
      <c r="I22" s="187">
        <f t="shared" ref="I22:I23" si="1">SUM(G22+H22)</f>
        <v>98.8</v>
      </c>
      <c r="J22" s="285">
        <f t="shared" ref="J22:J23" si="2">I22/D22</f>
        <v>0.45637211880456369</v>
      </c>
      <c r="K22" s="286"/>
      <c r="L22" s="41">
        <f>H22*E22</f>
        <v>19819.880585708343</v>
      </c>
      <c r="M22" s="41">
        <f>K22+L22</f>
        <v>19819.880585708343</v>
      </c>
      <c r="N22" s="291"/>
    </row>
    <row r="23" spans="1:14" ht="24.75">
      <c r="A23" s="85">
        <v>3.04</v>
      </c>
      <c r="B23" s="33" t="s">
        <v>198</v>
      </c>
      <c r="C23" s="77" t="s">
        <v>45</v>
      </c>
      <c r="D23" s="283">
        <v>1163.3699999999999</v>
      </c>
      <c r="E23" s="110">
        <f>153999.07/D23</f>
        <v>132.37325184593038</v>
      </c>
      <c r="F23" s="110">
        <f t="shared" si="0"/>
        <v>153999.07</v>
      </c>
      <c r="G23" s="290"/>
      <c r="H23" s="284">
        <f>380*0.8*1.2</f>
        <v>364.8</v>
      </c>
      <c r="I23" s="187">
        <f t="shared" si="1"/>
        <v>364.8</v>
      </c>
      <c r="J23" s="285">
        <f t="shared" si="2"/>
        <v>0.31357177853993146</v>
      </c>
      <c r="K23" s="286"/>
      <c r="L23" s="41">
        <f>H23*E23</f>
        <v>48289.762273395405</v>
      </c>
      <c r="M23" s="41">
        <f>K23+L23</f>
        <v>48289.762273395405</v>
      </c>
    </row>
    <row r="24" spans="1:14">
      <c r="A24" s="85"/>
      <c r="B24" s="42" t="s">
        <v>66</v>
      </c>
      <c r="C24" s="81"/>
      <c r="D24" s="289"/>
      <c r="E24" s="185"/>
      <c r="F24" s="185">
        <f>SUM(F20:F23)</f>
        <v>676149.17</v>
      </c>
      <c r="G24" s="290"/>
      <c r="H24" s="287"/>
      <c r="I24" s="290"/>
      <c r="J24" s="285"/>
      <c r="K24" s="286"/>
      <c r="L24" s="63">
        <f>SUM(L20:L23)</f>
        <v>209222.51815343107</v>
      </c>
      <c r="M24" s="63">
        <f>K24+L24</f>
        <v>209222.51815343107</v>
      </c>
    </row>
    <row r="25" spans="1:14">
      <c r="A25" s="180">
        <v>4</v>
      </c>
      <c r="B25" s="42" t="s">
        <v>131</v>
      </c>
      <c r="C25" s="77"/>
      <c r="D25" s="283"/>
      <c r="E25" s="110"/>
      <c r="F25" s="110"/>
      <c r="G25" s="290"/>
      <c r="H25" s="287"/>
      <c r="I25" s="290"/>
      <c r="J25" s="285"/>
      <c r="K25" s="286"/>
      <c r="L25" s="41"/>
      <c r="M25" s="41"/>
    </row>
    <row r="26" spans="1:14" ht="24.75">
      <c r="A26" s="177">
        <v>4.01</v>
      </c>
      <c r="B26" s="33" t="s">
        <v>199</v>
      </c>
      <c r="C26" s="77" t="s">
        <v>21</v>
      </c>
      <c r="D26" s="283">
        <v>6</v>
      </c>
      <c r="E26" s="110">
        <v>3290.49</v>
      </c>
      <c r="F26" s="110">
        <f t="shared" si="0"/>
        <v>19742.939999999999</v>
      </c>
      <c r="G26" s="176"/>
      <c r="H26" s="176"/>
      <c r="I26" s="187"/>
      <c r="J26" s="285"/>
      <c r="K26" s="292"/>
      <c r="L26" s="72"/>
      <c r="M26" s="72"/>
    </row>
    <row r="27" spans="1:14" ht="24.75">
      <c r="A27" s="177">
        <v>4.0199999999999996</v>
      </c>
      <c r="B27" s="33" t="s">
        <v>200</v>
      </c>
      <c r="C27" s="77" t="s">
        <v>21</v>
      </c>
      <c r="D27" s="283">
        <v>8</v>
      </c>
      <c r="E27" s="110">
        <f>29833.78/D27</f>
        <v>3729.2224999999999</v>
      </c>
      <c r="F27" s="110">
        <f t="shared" si="0"/>
        <v>29833.78</v>
      </c>
      <c r="G27" s="176"/>
      <c r="H27" s="176"/>
      <c r="I27" s="187"/>
      <c r="J27" s="285"/>
      <c r="K27" s="282"/>
      <c r="L27" s="41"/>
      <c r="M27" s="41"/>
    </row>
    <row r="28" spans="1:14">
      <c r="A28" s="177"/>
      <c r="B28" s="42" t="s">
        <v>66</v>
      </c>
      <c r="C28" s="81"/>
      <c r="D28" s="289"/>
      <c r="E28" s="185"/>
      <c r="F28" s="185">
        <f>SUM(F26:F27)</f>
        <v>49576.72</v>
      </c>
      <c r="G28" s="176"/>
      <c r="H28" s="176"/>
      <c r="I28" s="187"/>
      <c r="J28" s="285"/>
      <c r="K28" s="282"/>
      <c r="L28" s="41"/>
      <c r="M28" s="41"/>
    </row>
    <row r="29" spans="1:14">
      <c r="A29" s="180" t="s">
        <v>34</v>
      </c>
      <c r="B29" s="42" t="s">
        <v>201</v>
      </c>
      <c r="C29" s="77"/>
      <c r="D29" s="283"/>
      <c r="E29" s="110"/>
      <c r="F29" s="110"/>
      <c r="G29" s="176"/>
      <c r="H29" s="176"/>
      <c r="I29" s="187"/>
      <c r="J29" s="285"/>
      <c r="K29" s="282"/>
      <c r="L29" s="41"/>
      <c r="M29" s="41"/>
    </row>
    <row r="30" spans="1:14" ht="24.75">
      <c r="A30" s="85">
        <v>1</v>
      </c>
      <c r="B30" s="58" t="s">
        <v>37</v>
      </c>
      <c r="C30" s="77" t="s">
        <v>38</v>
      </c>
      <c r="D30" s="283">
        <v>1470</v>
      </c>
      <c r="E30" s="110">
        <f>117536.06/D30</f>
        <v>79.956503401360536</v>
      </c>
      <c r="F30" s="110">
        <f t="shared" si="0"/>
        <v>117536.05999999998</v>
      </c>
      <c r="G30" s="176"/>
      <c r="H30" s="176"/>
      <c r="I30" s="187"/>
      <c r="J30" s="285"/>
      <c r="K30" s="282"/>
      <c r="L30" s="41"/>
      <c r="M30" s="41"/>
    </row>
    <row r="31" spans="1:14" ht="24.75">
      <c r="A31" s="177">
        <v>2</v>
      </c>
      <c r="B31" s="33" t="s">
        <v>169</v>
      </c>
      <c r="C31" s="77"/>
      <c r="D31" s="283"/>
      <c r="E31" s="110"/>
      <c r="F31" s="110"/>
      <c r="G31" s="176"/>
      <c r="H31" s="176"/>
      <c r="I31" s="187"/>
      <c r="J31" s="293"/>
      <c r="K31" s="282"/>
      <c r="L31" s="41"/>
      <c r="M31" s="41"/>
      <c r="N31" s="294"/>
    </row>
    <row r="32" spans="1:14" ht="24.75">
      <c r="A32" s="177">
        <v>2.0099999999999998</v>
      </c>
      <c r="B32" s="33" t="s">
        <v>125</v>
      </c>
      <c r="C32" s="77" t="s">
        <v>38</v>
      </c>
      <c r="D32" s="283">
        <v>756</v>
      </c>
      <c r="E32" s="110">
        <f>4359678.89/D32</f>
        <v>5766.7710185185178</v>
      </c>
      <c r="F32" s="110">
        <f t="shared" si="0"/>
        <v>4359678.8899999997</v>
      </c>
      <c r="G32" s="176"/>
      <c r="H32" s="176">
        <v>700</v>
      </c>
      <c r="I32" s="187">
        <f>SUM(G32+H32)</f>
        <v>700</v>
      </c>
      <c r="J32" s="285">
        <f>I32/D32</f>
        <v>0.92592592592592593</v>
      </c>
      <c r="K32" s="286"/>
      <c r="L32" s="41">
        <f>H32*E32</f>
        <v>4036739.7129629627</v>
      </c>
      <c r="M32" s="41">
        <f>K32+L32</f>
        <v>4036739.7129629627</v>
      </c>
    </row>
    <row r="33" spans="1:13" ht="24.75">
      <c r="A33" s="177">
        <v>2.02</v>
      </c>
      <c r="B33" s="33" t="s">
        <v>202</v>
      </c>
      <c r="C33" s="77" t="s">
        <v>38</v>
      </c>
      <c r="D33" s="283">
        <v>787.5</v>
      </c>
      <c r="E33" s="110">
        <f>3934825.743/D33</f>
        <v>4996.6041180952379</v>
      </c>
      <c r="F33" s="110">
        <f t="shared" si="0"/>
        <v>3934825.7429999998</v>
      </c>
      <c r="G33" s="176"/>
      <c r="H33" s="176"/>
      <c r="I33" s="187"/>
      <c r="J33" s="285"/>
      <c r="K33" s="282"/>
      <c r="L33" s="63">
        <f>SUM(L32)</f>
        <v>4036739.7129629627</v>
      </c>
      <c r="M33" s="63">
        <f>K33+L33</f>
        <v>4036739.7129629627</v>
      </c>
    </row>
    <row r="34" spans="1:13">
      <c r="A34" s="177"/>
      <c r="B34" s="42" t="s">
        <v>66</v>
      </c>
      <c r="C34" s="81"/>
      <c r="D34" s="289"/>
      <c r="E34" s="185"/>
      <c r="F34" s="185">
        <f>SUM(F30:F33)</f>
        <v>8412040.693</v>
      </c>
      <c r="G34" s="176"/>
      <c r="H34" s="176"/>
      <c r="I34" s="187"/>
      <c r="J34" s="285"/>
      <c r="K34" s="282"/>
      <c r="L34" s="41"/>
      <c r="M34" s="41"/>
    </row>
    <row r="35" spans="1:13">
      <c r="A35" s="180">
        <v>3</v>
      </c>
      <c r="B35" s="42" t="s">
        <v>43</v>
      </c>
      <c r="C35" s="77"/>
      <c r="D35" s="283"/>
      <c r="E35" s="110"/>
      <c r="F35" s="110"/>
      <c r="G35" s="176"/>
      <c r="H35" s="176"/>
      <c r="I35" s="187"/>
      <c r="J35" s="285"/>
      <c r="K35" s="282"/>
      <c r="L35" s="41"/>
      <c r="M35" s="41"/>
    </row>
    <row r="36" spans="1:13">
      <c r="A36" s="177">
        <v>3.01</v>
      </c>
      <c r="B36" s="33" t="s">
        <v>44</v>
      </c>
      <c r="C36" s="77" t="s">
        <v>45</v>
      </c>
      <c r="D36" s="283">
        <v>1624.35</v>
      </c>
      <c r="E36" s="110">
        <f>419337.02/D36</f>
        <v>258.15681349462864</v>
      </c>
      <c r="F36" s="110">
        <f t="shared" si="0"/>
        <v>419337.02</v>
      </c>
      <c r="G36" s="176"/>
      <c r="H36" s="176">
        <f>700*0.8*1-30</f>
        <v>530</v>
      </c>
      <c r="I36" s="187">
        <f>SUM(G36+H36)</f>
        <v>530</v>
      </c>
      <c r="J36" s="285">
        <f>I36/D36</f>
        <v>0.3262843598978053</v>
      </c>
      <c r="K36" s="282"/>
      <c r="L36" s="41">
        <f>H36*E36</f>
        <v>136823.11115215317</v>
      </c>
      <c r="M36" s="41">
        <f>K36+L36</f>
        <v>136823.11115215317</v>
      </c>
    </row>
    <row r="37" spans="1:13">
      <c r="A37" s="177">
        <v>3.02</v>
      </c>
      <c r="B37" s="33" t="s">
        <v>197</v>
      </c>
      <c r="C37" s="77" t="s">
        <v>45</v>
      </c>
      <c r="D37" s="283">
        <v>66.94</v>
      </c>
      <c r="E37" s="110">
        <f>86070.4/D37</f>
        <v>1285.7842844338213</v>
      </c>
      <c r="F37" s="110">
        <f t="shared" si="0"/>
        <v>86070.399999999994</v>
      </c>
      <c r="G37" s="176"/>
      <c r="H37" s="176">
        <f>700*0.8*0.1</f>
        <v>56</v>
      </c>
      <c r="I37" s="187">
        <f t="shared" ref="I37:I39" si="3">SUM(G37+H37)</f>
        <v>56</v>
      </c>
      <c r="J37" s="285">
        <f t="shared" ref="J37:J39" si="4">I37/D37</f>
        <v>0.83657006274275469</v>
      </c>
      <c r="K37" s="282"/>
      <c r="L37" s="41">
        <f>H37*E37</f>
        <v>72003.919928293995</v>
      </c>
      <c r="M37" s="41">
        <f>K37+L37</f>
        <v>72003.919928293995</v>
      </c>
    </row>
    <row r="38" spans="1:13">
      <c r="A38" s="177">
        <v>3.03</v>
      </c>
      <c r="B38" s="33" t="s">
        <v>47</v>
      </c>
      <c r="C38" s="77" t="s">
        <v>45</v>
      </c>
      <c r="D38" s="283">
        <v>188.25</v>
      </c>
      <c r="E38" s="110">
        <f>37764.38/D38</f>
        <v>200.60759628154048</v>
      </c>
      <c r="F38" s="110">
        <f t="shared" si="0"/>
        <v>37764.379999999997</v>
      </c>
      <c r="G38" s="176"/>
      <c r="H38" s="176">
        <v>56</v>
      </c>
      <c r="I38" s="187">
        <f t="shared" si="3"/>
        <v>56</v>
      </c>
      <c r="J38" s="285">
        <f t="shared" si="4"/>
        <v>0.29747675962815406</v>
      </c>
      <c r="K38" s="282"/>
      <c r="L38" s="41">
        <f>H38*E38</f>
        <v>11234.025391766267</v>
      </c>
      <c r="M38" s="41">
        <f>K38+L38</f>
        <v>11234.025391766267</v>
      </c>
    </row>
    <row r="39" spans="1:13" ht="24.75">
      <c r="A39" s="177">
        <v>3.04</v>
      </c>
      <c r="B39" s="33" t="s">
        <v>198</v>
      </c>
      <c r="C39" s="77" t="s">
        <v>45</v>
      </c>
      <c r="D39" s="283">
        <v>1479.54</v>
      </c>
      <c r="E39" s="110">
        <f>195851.77/D39</f>
        <v>132.3734201170634</v>
      </c>
      <c r="F39" s="110">
        <f t="shared" si="0"/>
        <v>195851.77</v>
      </c>
      <c r="G39" s="176"/>
      <c r="H39" s="176">
        <f>700*0.8*1.2</f>
        <v>672</v>
      </c>
      <c r="I39" s="187">
        <f t="shared" si="3"/>
        <v>672</v>
      </c>
      <c r="J39" s="285">
        <f t="shared" si="4"/>
        <v>0.45419522283953123</v>
      </c>
      <c r="K39" s="282"/>
      <c r="L39" s="41">
        <f>H39*E39</f>
        <v>88954.938318666609</v>
      </c>
      <c r="M39" s="41">
        <f>K39+L39</f>
        <v>88954.938318666609</v>
      </c>
    </row>
    <row r="40" spans="1:13">
      <c r="A40" s="177"/>
      <c r="B40" s="42" t="s">
        <v>66</v>
      </c>
      <c r="C40" s="81"/>
      <c r="D40" s="289"/>
      <c r="E40" s="185"/>
      <c r="F40" s="185">
        <f>SUM(F36:F39)</f>
        <v>739023.57000000007</v>
      </c>
      <c r="G40" s="176"/>
      <c r="H40" s="176"/>
      <c r="I40" s="187"/>
      <c r="J40" s="285"/>
      <c r="K40" s="282"/>
      <c r="L40" s="63">
        <f>SUM(L36:L39)</f>
        <v>309015.99479088007</v>
      </c>
      <c r="M40" s="63">
        <f>K40+L40</f>
        <v>309015.99479088007</v>
      </c>
    </row>
    <row r="41" spans="1:13">
      <c r="A41" s="180">
        <v>4</v>
      </c>
      <c r="B41" s="42" t="s">
        <v>131</v>
      </c>
      <c r="C41" s="77"/>
      <c r="D41" s="283"/>
      <c r="E41" s="110"/>
      <c r="F41" s="110"/>
      <c r="G41" s="176"/>
      <c r="H41" s="176"/>
      <c r="I41" s="187"/>
      <c r="J41" s="285"/>
      <c r="K41" s="295"/>
      <c r="L41" s="41"/>
      <c r="M41" s="41"/>
    </row>
    <row r="42" spans="1:13" ht="24.75">
      <c r="A42" s="85">
        <v>4.01</v>
      </c>
      <c r="B42" s="58" t="s">
        <v>203</v>
      </c>
      <c r="C42" s="77" t="s">
        <v>21</v>
      </c>
      <c r="D42" s="283">
        <v>12</v>
      </c>
      <c r="E42" s="110">
        <f>44750.66/D42</f>
        <v>3729.2216666666668</v>
      </c>
      <c r="F42" s="110">
        <f t="shared" si="0"/>
        <v>44750.66</v>
      </c>
      <c r="G42" s="176"/>
      <c r="H42" s="176"/>
      <c r="I42" s="187"/>
      <c r="J42" s="285"/>
      <c r="K42" s="292"/>
      <c r="L42" s="72"/>
      <c r="M42" s="72"/>
    </row>
    <row r="43" spans="1:13">
      <c r="A43" s="85"/>
      <c r="B43" s="59" t="s">
        <v>66</v>
      </c>
      <c r="C43" s="81"/>
      <c r="D43" s="289"/>
      <c r="E43" s="185"/>
      <c r="F43" s="185">
        <f>F42</f>
        <v>44750.66</v>
      </c>
      <c r="G43" s="176"/>
      <c r="H43" s="176"/>
      <c r="I43" s="187"/>
      <c r="J43" s="285"/>
      <c r="K43" s="292"/>
      <c r="L43" s="72"/>
      <c r="M43" s="72"/>
    </row>
    <row r="44" spans="1:13" ht="24">
      <c r="A44" s="180" t="s">
        <v>57</v>
      </c>
      <c r="B44" s="182" t="s">
        <v>204</v>
      </c>
      <c r="C44" s="77"/>
      <c r="D44" s="283"/>
      <c r="E44" s="110"/>
      <c r="F44" s="110"/>
      <c r="G44" s="176"/>
      <c r="H44" s="176"/>
      <c r="I44" s="187"/>
      <c r="J44" s="285"/>
      <c r="K44" s="282"/>
      <c r="L44" s="41"/>
      <c r="M44" s="41"/>
    </row>
    <row r="45" spans="1:13">
      <c r="A45" s="177">
        <v>1</v>
      </c>
      <c r="B45" s="55" t="s">
        <v>36</v>
      </c>
      <c r="C45" s="77"/>
      <c r="D45" s="283"/>
      <c r="E45" s="110"/>
      <c r="F45" s="110"/>
      <c r="G45" s="176"/>
      <c r="H45" s="176"/>
      <c r="I45" s="187"/>
      <c r="J45" s="285"/>
      <c r="K45" s="282"/>
      <c r="L45" s="41"/>
      <c r="M45" s="41"/>
    </row>
    <row r="46" spans="1:13" ht="24">
      <c r="A46" s="177">
        <v>1.01</v>
      </c>
      <c r="B46" s="55" t="s">
        <v>37</v>
      </c>
      <c r="C46" s="77" t="s">
        <v>55</v>
      </c>
      <c r="D46" s="283">
        <v>1</v>
      </c>
      <c r="E46" s="110">
        <v>22345.8</v>
      </c>
      <c r="F46" s="110">
        <f t="shared" si="0"/>
        <v>22345.8</v>
      </c>
      <c r="G46" s="176"/>
      <c r="H46" s="176"/>
      <c r="I46" s="187"/>
      <c r="J46" s="285"/>
      <c r="K46" s="282"/>
      <c r="L46" s="41"/>
      <c r="M46" s="41"/>
    </row>
    <row r="47" spans="1:13">
      <c r="A47" s="177">
        <v>1.02</v>
      </c>
      <c r="B47" s="55" t="s">
        <v>205</v>
      </c>
      <c r="C47" s="77" t="s">
        <v>21</v>
      </c>
      <c r="D47" s="283">
        <v>1</v>
      </c>
      <c r="E47" s="110">
        <v>40325</v>
      </c>
      <c r="F47" s="110">
        <f t="shared" si="0"/>
        <v>40325</v>
      </c>
      <c r="G47" s="176"/>
      <c r="H47" s="176"/>
      <c r="I47" s="187"/>
      <c r="J47" s="285"/>
      <c r="K47" s="282"/>
      <c r="L47" s="41"/>
      <c r="M47" s="41"/>
    </row>
    <row r="48" spans="1:13">
      <c r="A48" s="177"/>
      <c r="B48" s="182" t="s">
        <v>39</v>
      </c>
      <c r="C48" s="81"/>
      <c r="D48" s="289"/>
      <c r="E48" s="185"/>
      <c r="F48" s="185">
        <f>SUM(F46:F47)</f>
        <v>62670.8</v>
      </c>
      <c r="G48" s="176"/>
      <c r="H48" s="176"/>
      <c r="I48" s="187"/>
      <c r="J48" s="285"/>
      <c r="K48" s="282"/>
      <c r="L48" s="41"/>
      <c r="M48" s="41"/>
    </row>
    <row r="49" spans="1:13">
      <c r="A49" s="180">
        <v>2</v>
      </c>
      <c r="B49" s="182" t="s">
        <v>43</v>
      </c>
      <c r="C49" s="77"/>
      <c r="D49" s="283"/>
      <c r="E49" s="110"/>
      <c r="F49" s="110"/>
      <c r="G49" s="176"/>
      <c r="H49" s="176"/>
      <c r="I49" s="187"/>
      <c r="J49" s="285"/>
      <c r="K49" s="282"/>
      <c r="L49" s="41"/>
      <c r="M49" s="41"/>
    </row>
    <row r="50" spans="1:13" ht="24">
      <c r="A50" s="177">
        <v>2.0099999999999998</v>
      </c>
      <c r="B50" s="55" t="s">
        <v>206</v>
      </c>
      <c r="C50" s="77" t="s">
        <v>45</v>
      </c>
      <c r="D50" s="283">
        <v>205.76</v>
      </c>
      <c r="E50" s="110">
        <v>258.15080699999999</v>
      </c>
      <c r="F50" s="110">
        <f t="shared" si="0"/>
        <v>53117.110048319992</v>
      </c>
      <c r="G50" s="176"/>
      <c r="H50" s="176"/>
      <c r="I50" s="187"/>
      <c r="J50" s="285"/>
      <c r="K50" s="282"/>
      <c r="L50" s="41"/>
      <c r="M50" s="41"/>
    </row>
    <row r="51" spans="1:13" ht="48">
      <c r="A51" s="177">
        <v>2.02</v>
      </c>
      <c r="B51" s="55" t="s">
        <v>207</v>
      </c>
      <c r="C51" s="77" t="s">
        <v>45</v>
      </c>
      <c r="D51" s="283">
        <v>15.89</v>
      </c>
      <c r="E51" s="110">
        <v>990.17431999999997</v>
      </c>
      <c r="F51" s="110">
        <f t="shared" si="0"/>
        <v>15733.869944800001</v>
      </c>
      <c r="G51" s="176"/>
      <c r="H51" s="176"/>
      <c r="I51" s="187"/>
      <c r="J51" s="285"/>
      <c r="K51" s="282"/>
      <c r="L51" s="41"/>
      <c r="M51" s="41"/>
    </row>
    <row r="52" spans="1:13" ht="48">
      <c r="A52" s="177">
        <v>2.0299999999999998</v>
      </c>
      <c r="B52" s="55" t="s">
        <v>208</v>
      </c>
      <c r="C52" s="77" t="s">
        <v>45</v>
      </c>
      <c r="D52" s="283">
        <v>227.83</v>
      </c>
      <c r="E52" s="110">
        <f>45704.37/D52</f>
        <v>200.60733880524953</v>
      </c>
      <c r="F52" s="110">
        <f t="shared" si="0"/>
        <v>45704.37</v>
      </c>
      <c r="G52" s="176"/>
      <c r="H52" s="176"/>
      <c r="I52" s="187"/>
      <c r="J52" s="285"/>
      <c r="K52" s="282"/>
      <c r="L52" s="41"/>
      <c r="M52" s="41"/>
    </row>
    <row r="53" spans="1:13">
      <c r="A53" s="177"/>
      <c r="B53" s="182" t="s">
        <v>39</v>
      </c>
      <c r="C53" s="81"/>
      <c r="D53" s="289"/>
      <c r="E53" s="185"/>
      <c r="F53" s="185">
        <f>SUM(F50:F52)</f>
        <v>114555.34999312001</v>
      </c>
      <c r="G53" s="176"/>
      <c r="H53" s="176"/>
      <c r="I53" s="187"/>
      <c r="J53" s="285"/>
      <c r="K53" s="282"/>
      <c r="L53" s="41"/>
      <c r="M53" s="41"/>
    </row>
    <row r="54" spans="1:13" ht="24">
      <c r="A54" s="177">
        <v>3</v>
      </c>
      <c r="B54" s="55" t="s">
        <v>209</v>
      </c>
      <c r="C54" s="77"/>
      <c r="D54" s="283"/>
      <c r="E54" s="110"/>
      <c r="F54" s="110"/>
      <c r="G54" s="176"/>
      <c r="H54" s="176"/>
      <c r="I54" s="187"/>
      <c r="J54" s="285"/>
      <c r="K54" s="282"/>
      <c r="L54" s="41"/>
      <c r="M54" s="41"/>
    </row>
    <row r="55" spans="1:13" ht="24">
      <c r="A55" s="177">
        <v>3.01</v>
      </c>
      <c r="B55" s="55" t="s">
        <v>210</v>
      </c>
      <c r="C55" s="77" t="s">
        <v>45</v>
      </c>
      <c r="D55" s="283">
        <v>16.87</v>
      </c>
      <c r="E55" s="110">
        <f>267425.6/D55</f>
        <v>15852.139893301717</v>
      </c>
      <c r="F55" s="110">
        <f t="shared" si="0"/>
        <v>267425.59999999998</v>
      </c>
      <c r="G55" s="176"/>
      <c r="H55" s="176"/>
      <c r="I55" s="187"/>
      <c r="J55" s="285"/>
      <c r="K55" s="282"/>
      <c r="L55" s="41"/>
      <c r="M55" s="41"/>
    </row>
    <row r="56" spans="1:13" ht="24">
      <c r="A56" s="177">
        <v>3.02</v>
      </c>
      <c r="B56" s="55" t="s">
        <v>211</v>
      </c>
      <c r="C56" s="77" t="s">
        <v>45</v>
      </c>
      <c r="D56" s="283">
        <v>21.02</v>
      </c>
      <c r="E56" s="110">
        <f>230242.3/D56</f>
        <v>10953.48715509039</v>
      </c>
      <c r="F56" s="110">
        <f t="shared" si="0"/>
        <v>230242.3</v>
      </c>
      <c r="G56" s="176"/>
      <c r="H56" s="176"/>
      <c r="I56" s="187"/>
      <c r="J56" s="285"/>
      <c r="K56" s="282"/>
      <c r="L56" s="41"/>
      <c r="M56" s="41"/>
    </row>
    <row r="57" spans="1:13" ht="36">
      <c r="A57" s="177">
        <v>3.03</v>
      </c>
      <c r="B57" s="55" t="s">
        <v>212</v>
      </c>
      <c r="C57" s="77" t="s">
        <v>45</v>
      </c>
      <c r="D57" s="283">
        <v>1.39</v>
      </c>
      <c r="E57" s="110">
        <f>20572.09/D57</f>
        <v>14800.064748201439</v>
      </c>
      <c r="F57" s="110">
        <f t="shared" si="0"/>
        <v>20572.09</v>
      </c>
      <c r="G57" s="176"/>
      <c r="H57" s="176"/>
      <c r="I57" s="187"/>
      <c r="J57" s="285"/>
      <c r="K57" s="282"/>
      <c r="L57" s="41"/>
      <c r="M57" s="41"/>
    </row>
    <row r="58" spans="1:13" ht="24">
      <c r="A58" s="177">
        <v>3.04</v>
      </c>
      <c r="B58" s="55" t="s">
        <v>213</v>
      </c>
      <c r="C58" s="77" t="s">
        <v>45</v>
      </c>
      <c r="D58" s="283">
        <v>1.46</v>
      </c>
      <c r="E58" s="110">
        <f>24093.14/D58</f>
        <v>16502.150684931508</v>
      </c>
      <c r="F58" s="110">
        <f t="shared" si="0"/>
        <v>24093.140000000003</v>
      </c>
      <c r="G58" s="176"/>
      <c r="H58" s="176"/>
      <c r="I58" s="187"/>
      <c r="J58" s="285"/>
      <c r="K58" s="282"/>
      <c r="L58" s="41"/>
      <c r="M58" s="41"/>
    </row>
    <row r="59" spans="1:13">
      <c r="A59" s="177">
        <v>3.05</v>
      </c>
      <c r="B59" s="55" t="s">
        <v>214</v>
      </c>
      <c r="C59" s="77" t="s">
        <v>45</v>
      </c>
      <c r="D59" s="283">
        <v>43.74</v>
      </c>
      <c r="E59" s="110">
        <f>1286488.38/D59</f>
        <v>29412.171467764056</v>
      </c>
      <c r="F59" s="110">
        <f t="shared" si="0"/>
        <v>1286488.3799999999</v>
      </c>
      <c r="G59" s="176"/>
      <c r="H59" s="176"/>
      <c r="I59" s="187"/>
      <c r="J59" s="285"/>
      <c r="K59" s="282"/>
      <c r="L59" s="41"/>
      <c r="M59" s="41"/>
    </row>
    <row r="60" spans="1:13" ht="24">
      <c r="A60" s="177">
        <v>3.06</v>
      </c>
      <c r="B60" s="55" t="s">
        <v>215</v>
      </c>
      <c r="C60" s="77" t="s">
        <v>45</v>
      </c>
      <c r="D60" s="283">
        <v>1.66</v>
      </c>
      <c r="E60" s="110">
        <f>59380.56/D60</f>
        <v>35771.421686746988</v>
      </c>
      <c r="F60" s="110">
        <f t="shared" si="0"/>
        <v>59380.56</v>
      </c>
      <c r="G60" s="176"/>
      <c r="H60" s="176"/>
      <c r="I60" s="187"/>
      <c r="J60" s="285"/>
      <c r="K60" s="282"/>
      <c r="L60" s="41"/>
      <c r="M60" s="41"/>
    </row>
    <row r="61" spans="1:13" ht="24">
      <c r="A61" s="177">
        <v>3.07</v>
      </c>
      <c r="B61" s="55" t="s">
        <v>216</v>
      </c>
      <c r="C61" s="77" t="s">
        <v>45</v>
      </c>
      <c r="D61" s="283">
        <v>3.32</v>
      </c>
      <c r="E61" s="110">
        <f>109849.79/D61</f>
        <v>33087.286144578313</v>
      </c>
      <c r="F61" s="110">
        <f t="shared" si="0"/>
        <v>109849.79</v>
      </c>
      <c r="G61" s="176"/>
      <c r="H61" s="176"/>
      <c r="I61" s="187"/>
      <c r="J61" s="285"/>
      <c r="K61" s="282"/>
      <c r="L61" s="41"/>
      <c r="M61" s="41"/>
    </row>
    <row r="62" spans="1:13" ht="24">
      <c r="A62" s="177">
        <v>3.08</v>
      </c>
      <c r="B62" s="55" t="s">
        <v>217</v>
      </c>
      <c r="C62" s="77" t="s">
        <v>45</v>
      </c>
      <c r="D62" s="283">
        <v>2.68</v>
      </c>
      <c r="E62" s="110">
        <f>85110.05/D62</f>
        <v>31757.48134328358</v>
      </c>
      <c r="F62" s="110">
        <f t="shared" si="0"/>
        <v>85110.05</v>
      </c>
      <c r="G62" s="176"/>
      <c r="H62" s="176"/>
      <c r="I62" s="187"/>
      <c r="J62" s="285"/>
      <c r="K62" s="282"/>
      <c r="L62" s="41"/>
      <c r="M62" s="41"/>
    </row>
    <row r="63" spans="1:13" ht="24">
      <c r="A63" s="85">
        <v>3.09</v>
      </c>
      <c r="B63" s="296" t="s">
        <v>218</v>
      </c>
      <c r="C63" s="297" t="s">
        <v>45</v>
      </c>
      <c r="D63" s="298">
        <v>19.48</v>
      </c>
      <c r="E63" s="299">
        <v>16471.975900000001</v>
      </c>
      <c r="F63" s="110">
        <f t="shared" si="0"/>
        <v>320874.09053200006</v>
      </c>
      <c r="G63" s="176"/>
      <c r="H63" s="176"/>
      <c r="I63" s="187"/>
      <c r="J63" s="285"/>
      <c r="K63" s="282"/>
      <c r="L63" s="41"/>
      <c r="M63" s="41"/>
    </row>
    <row r="64" spans="1:13" ht="24">
      <c r="A64" s="177">
        <v>3.1</v>
      </c>
      <c r="B64" s="55" t="s">
        <v>219</v>
      </c>
      <c r="C64" s="77" t="s">
        <v>45</v>
      </c>
      <c r="D64" s="283">
        <v>0.06</v>
      </c>
      <c r="E64" s="110">
        <v>27673</v>
      </c>
      <c r="F64" s="110">
        <f t="shared" si="0"/>
        <v>1660.3799999999999</v>
      </c>
      <c r="G64" s="176"/>
      <c r="H64" s="176"/>
      <c r="I64" s="187"/>
      <c r="J64" s="285"/>
      <c r="K64" s="282"/>
      <c r="L64" s="41"/>
      <c r="M64" s="41"/>
    </row>
    <row r="65" spans="1:13">
      <c r="A65" s="177"/>
      <c r="B65" s="182" t="s">
        <v>39</v>
      </c>
      <c r="C65" s="81"/>
      <c r="D65" s="289"/>
      <c r="E65" s="185"/>
      <c r="F65" s="185">
        <f>SUM(F55:F64)</f>
        <v>2405696.3805319997</v>
      </c>
      <c r="G65" s="176"/>
      <c r="H65" s="176"/>
      <c r="I65" s="187"/>
      <c r="J65" s="285"/>
      <c r="K65" s="282"/>
      <c r="L65" s="41"/>
      <c r="M65" s="41"/>
    </row>
    <row r="66" spans="1:13" ht="24">
      <c r="A66" s="180">
        <v>4</v>
      </c>
      <c r="B66" s="182" t="s">
        <v>220</v>
      </c>
      <c r="C66" s="77"/>
      <c r="D66" s="283"/>
      <c r="E66" s="110"/>
      <c r="F66" s="110"/>
      <c r="G66" s="176"/>
      <c r="H66" s="176"/>
      <c r="I66" s="187"/>
      <c r="J66" s="285"/>
      <c r="K66" s="282"/>
      <c r="L66" s="41"/>
      <c r="M66" s="41"/>
    </row>
    <row r="67" spans="1:13">
      <c r="A67" s="177">
        <v>4.01</v>
      </c>
      <c r="B67" s="55" t="s">
        <v>221</v>
      </c>
      <c r="C67" s="77" t="s">
        <v>222</v>
      </c>
      <c r="D67" s="283">
        <v>319.64</v>
      </c>
      <c r="E67" s="110">
        <v>416.050588</v>
      </c>
      <c r="F67" s="110">
        <f t="shared" si="0"/>
        <v>132986.40994831998</v>
      </c>
      <c r="G67" s="176"/>
      <c r="H67" s="176"/>
      <c r="I67" s="187"/>
      <c r="J67" s="285"/>
      <c r="K67" s="282"/>
      <c r="L67" s="41"/>
      <c r="M67" s="41"/>
    </row>
    <row r="68" spans="1:13">
      <c r="A68" s="177">
        <v>4.0199999999999996</v>
      </c>
      <c r="B68" s="55" t="s">
        <v>223</v>
      </c>
      <c r="C68" s="77" t="s">
        <v>222</v>
      </c>
      <c r="D68" s="283">
        <v>292.58</v>
      </c>
      <c r="E68" s="110">
        <v>682.58633499999996</v>
      </c>
      <c r="F68" s="110">
        <f t="shared" si="0"/>
        <v>199711.10989429997</v>
      </c>
      <c r="G68" s="176"/>
      <c r="H68" s="176"/>
      <c r="I68" s="187"/>
      <c r="J68" s="285"/>
      <c r="K68" s="282"/>
      <c r="L68" s="41"/>
      <c r="M68" s="41"/>
    </row>
    <row r="69" spans="1:13">
      <c r="A69" s="177">
        <v>4.03</v>
      </c>
      <c r="B69" s="55" t="s">
        <v>224</v>
      </c>
      <c r="C69" s="77" t="s">
        <v>222</v>
      </c>
      <c r="D69" s="283">
        <v>129.88</v>
      </c>
      <c r="E69" s="110">
        <v>634.13651100000004</v>
      </c>
      <c r="F69" s="110">
        <f t="shared" si="0"/>
        <v>82361.650048680007</v>
      </c>
      <c r="G69" s="176"/>
      <c r="H69" s="176"/>
      <c r="I69" s="187"/>
      <c r="J69" s="285"/>
      <c r="K69" s="282"/>
      <c r="L69" s="41"/>
      <c r="M69" s="41"/>
    </row>
    <row r="70" spans="1:13">
      <c r="A70" s="177">
        <v>4.04</v>
      </c>
      <c r="B70" s="55" t="s">
        <v>225</v>
      </c>
      <c r="C70" s="77" t="s">
        <v>222</v>
      </c>
      <c r="D70" s="283">
        <v>129.88</v>
      </c>
      <c r="E70" s="110">
        <v>634.13651100000004</v>
      </c>
      <c r="F70" s="110">
        <f t="shared" si="0"/>
        <v>82361.650048680007</v>
      </c>
      <c r="G70" s="176"/>
      <c r="H70" s="176"/>
      <c r="I70" s="187"/>
      <c r="J70" s="285"/>
      <c r="K70" s="282"/>
      <c r="L70" s="41"/>
      <c r="M70" s="41"/>
    </row>
    <row r="71" spans="1:13">
      <c r="A71" s="177">
        <v>4.05</v>
      </c>
      <c r="B71" s="55" t="s">
        <v>226</v>
      </c>
      <c r="C71" s="77" t="s">
        <v>222</v>
      </c>
      <c r="D71" s="283">
        <v>184.24</v>
      </c>
      <c r="E71" s="110">
        <v>188.10258400000001</v>
      </c>
      <c r="F71" s="110">
        <f t="shared" si="0"/>
        <v>34656.020076160006</v>
      </c>
      <c r="G71" s="176"/>
      <c r="H71" s="176"/>
      <c r="I71" s="187"/>
      <c r="J71" s="285"/>
      <c r="K71" s="282"/>
      <c r="L71" s="41"/>
      <c r="M71" s="41"/>
    </row>
    <row r="72" spans="1:13" ht="24">
      <c r="A72" s="177">
        <v>4.0599999999999996</v>
      </c>
      <c r="B72" s="55" t="s">
        <v>227</v>
      </c>
      <c r="C72" s="77" t="s">
        <v>222</v>
      </c>
      <c r="D72" s="283">
        <v>258.42</v>
      </c>
      <c r="E72" s="110">
        <v>326.29308900000001</v>
      </c>
      <c r="F72" s="110">
        <f t="shared" si="0"/>
        <v>84320.66005938001</v>
      </c>
      <c r="G72" s="176"/>
      <c r="H72" s="176"/>
      <c r="I72" s="187"/>
      <c r="J72" s="285"/>
      <c r="K72" s="282"/>
      <c r="L72" s="41"/>
      <c r="M72" s="41"/>
    </row>
    <row r="73" spans="1:13">
      <c r="A73" s="177"/>
      <c r="B73" s="182" t="s">
        <v>39</v>
      </c>
      <c r="C73" s="81"/>
      <c r="D73" s="289"/>
      <c r="E73" s="185"/>
      <c r="F73" s="185">
        <f>SUM(F67:F72)</f>
        <v>616397.50007552002</v>
      </c>
      <c r="G73" s="176"/>
      <c r="H73" s="176"/>
      <c r="I73" s="187"/>
      <c r="J73" s="285"/>
      <c r="K73" s="282"/>
      <c r="L73" s="41"/>
      <c r="M73" s="41"/>
    </row>
    <row r="74" spans="1:13" ht="48">
      <c r="A74" s="177">
        <v>5</v>
      </c>
      <c r="B74" s="55" t="s">
        <v>228</v>
      </c>
      <c r="C74" s="77"/>
      <c r="D74" s="283"/>
      <c r="E74" s="110"/>
      <c r="F74" s="110"/>
      <c r="G74" s="176"/>
      <c r="H74" s="176"/>
      <c r="I74" s="187"/>
      <c r="J74" s="285"/>
      <c r="K74" s="282"/>
      <c r="L74" s="41"/>
      <c r="M74" s="41"/>
    </row>
    <row r="75" spans="1:13">
      <c r="A75" s="177">
        <v>5.01</v>
      </c>
      <c r="B75" s="55" t="s">
        <v>229</v>
      </c>
      <c r="C75" s="77" t="s">
        <v>21</v>
      </c>
      <c r="D75" s="283">
        <v>1</v>
      </c>
      <c r="E75" s="110">
        <v>19513.73</v>
      </c>
      <c r="F75" s="110">
        <f t="shared" si="0"/>
        <v>19513.73</v>
      </c>
      <c r="G75" s="176"/>
      <c r="H75" s="176"/>
      <c r="I75" s="187"/>
      <c r="J75" s="285"/>
      <c r="K75" s="282"/>
      <c r="L75" s="41"/>
      <c r="M75" s="41"/>
    </row>
    <row r="76" spans="1:13">
      <c r="A76" s="177">
        <v>5.0199999999999996</v>
      </c>
      <c r="B76" s="55" t="s">
        <v>230</v>
      </c>
      <c r="C76" s="77" t="s">
        <v>21</v>
      </c>
      <c r="D76" s="283">
        <v>1</v>
      </c>
      <c r="E76" s="110">
        <v>10198.629999999999</v>
      </c>
      <c r="F76" s="110">
        <f t="shared" si="0"/>
        <v>10198.629999999999</v>
      </c>
      <c r="G76" s="176"/>
      <c r="H76" s="176"/>
      <c r="I76" s="187"/>
      <c r="J76" s="285"/>
      <c r="K76" s="282"/>
      <c r="L76" s="41"/>
      <c r="M76" s="41"/>
    </row>
    <row r="77" spans="1:13">
      <c r="A77" s="177">
        <v>5.03</v>
      </c>
      <c r="B77" s="55" t="s">
        <v>231</v>
      </c>
      <c r="C77" s="77" t="s">
        <v>21</v>
      </c>
      <c r="D77" s="283">
        <v>3</v>
      </c>
      <c r="E77" s="110">
        <v>16760.866699999999</v>
      </c>
      <c r="F77" s="110">
        <f t="shared" si="0"/>
        <v>50282.600099999996</v>
      </c>
      <c r="G77" s="176"/>
      <c r="H77" s="176"/>
      <c r="I77" s="187"/>
      <c r="J77" s="285"/>
      <c r="K77" s="282"/>
      <c r="L77" s="41"/>
      <c r="M77" s="41"/>
    </row>
    <row r="78" spans="1:13">
      <c r="A78" s="177">
        <v>5.04</v>
      </c>
      <c r="B78" s="55" t="s">
        <v>232</v>
      </c>
      <c r="C78" s="77" t="s">
        <v>21</v>
      </c>
      <c r="D78" s="283">
        <v>1</v>
      </c>
      <c r="E78" s="110">
        <v>13738.46</v>
      </c>
      <c r="F78" s="110">
        <f t="shared" si="0"/>
        <v>13738.46</v>
      </c>
      <c r="G78" s="176"/>
      <c r="H78" s="176"/>
      <c r="I78" s="187"/>
      <c r="J78" s="285"/>
      <c r="K78" s="282"/>
      <c r="L78" s="41"/>
      <c r="M78" s="41"/>
    </row>
    <row r="79" spans="1:13" ht="36">
      <c r="A79" s="177">
        <v>5.05</v>
      </c>
      <c r="B79" s="55" t="s">
        <v>233</v>
      </c>
      <c r="C79" s="77" t="s">
        <v>21</v>
      </c>
      <c r="D79" s="283">
        <v>3</v>
      </c>
      <c r="E79" s="110">
        <v>2756.05</v>
      </c>
      <c r="F79" s="110">
        <f t="shared" si="0"/>
        <v>8268.1500000000015</v>
      </c>
      <c r="G79" s="176"/>
      <c r="H79" s="176"/>
      <c r="I79" s="187"/>
      <c r="J79" s="285"/>
      <c r="K79" s="282"/>
      <c r="L79" s="41"/>
      <c r="M79" s="41"/>
    </row>
    <row r="80" spans="1:13" ht="24">
      <c r="A80" s="177">
        <v>5.0599999999999996</v>
      </c>
      <c r="B80" s="55" t="s">
        <v>234</v>
      </c>
      <c r="C80" s="77" t="s">
        <v>21</v>
      </c>
      <c r="D80" s="283">
        <v>1</v>
      </c>
      <c r="E80" s="110">
        <v>1826.45</v>
      </c>
      <c r="F80" s="110">
        <f t="shared" si="0"/>
        <v>1826.45</v>
      </c>
      <c r="G80" s="176"/>
      <c r="H80" s="176"/>
      <c r="I80" s="187"/>
      <c r="J80" s="285"/>
      <c r="K80" s="282"/>
      <c r="L80" s="41"/>
      <c r="M80" s="41"/>
    </row>
    <row r="81" spans="1:13" ht="72">
      <c r="A81" s="177">
        <v>5.07</v>
      </c>
      <c r="B81" s="55" t="s">
        <v>235</v>
      </c>
      <c r="C81" s="77" t="s">
        <v>21</v>
      </c>
      <c r="D81" s="283">
        <v>1</v>
      </c>
      <c r="E81" s="110">
        <v>41924.949999999997</v>
      </c>
      <c r="F81" s="110">
        <f t="shared" si="0"/>
        <v>41924.949999999997</v>
      </c>
      <c r="G81" s="176"/>
      <c r="H81" s="176"/>
      <c r="I81" s="187"/>
      <c r="J81" s="285"/>
      <c r="K81" s="282"/>
      <c r="L81" s="41"/>
      <c r="M81" s="41"/>
    </row>
    <row r="82" spans="1:13" ht="24">
      <c r="A82" s="85">
        <v>5.08</v>
      </c>
      <c r="B82" s="55" t="s">
        <v>236</v>
      </c>
      <c r="C82" s="297" t="s">
        <v>237</v>
      </c>
      <c r="D82" s="300">
        <v>24.03</v>
      </c>
      <c r="E82" s="299">
        <v>9818.8456100000003</v>
      </c>
      <c r="F82" s="110">
        <f t="shared" si="0"/>
        <v>235946.86000830002</v>
      </c>
      <c r="G82" s="176"/>
      <c r="H82" s="176"/>
      <c r="I82" s="187"/>
      <c r="J82" s="285"/>
      <c r="K82" s="282"/>
      <c r="L82" s="41"/>
      <c r="M82" s="41"/>
    </row>
    <row r="83" spans="1:13" ht="24">
      <c r="A83" s="177">
        <v>5.09</v>
      </c>
      <c r="B83" s="55" t="s">
        <v>238</v>
      </c>
      <c r="C83" s="77" t="s">
        <v>237</v>
      </c>
      <c r="D83" s="283">
        <v>19.88</v>
      </c>
      <c r="E83" s="110">
        <v>4996.60412</v>
      </c>
      <c r="F83" s="110">
        <f t="shared" si="0"/>
        <v>99332.489905599999</v>
      </c>
      <c r="G83" s="176"/>
      <c r="H83" s="176"/>
      <c r="I83" s="187"/>
      <c r="J83" s="285"/>
      <c r="K83" s="282"/>
      <c r="L83" s="41"/>
      <c r="M83" s="41"/>
    </row>
    <row r="84" spans="1:13" ht="24">
      <c r="A84" s="177">
        <v>5.0999999999999996</v>
      </c>
      <c r="B84" s="55" t="s">
        <v>239</v>
      </c>
      <c r="C84" s="77" t="s">
        <v>21</v>
      </c>
      <c r="D84" s="283">
        <v>4.68</v>
      </c>
      <c r="E84" s="110">
        <v>5200.7072600000001</v>
      </c>
      <c r="F84" s="110">
        <f t="shared" si="0"/>
        <v>24339.309976799999</v>
      </c>
      <c r="G84" s="176"/>
      <c r="H84" s="176"/>
      <c r="I84" s="187"/>
      <c r="J84" s="285"/>
      <c r="K84" s="282"/>
      <c r="L84" s="41"/>
      <c r="M84" s="41"/>
    </row>
    <row r="85" spans="1:13" ht="24">
      <c r="A85" s="177">
        <v>5.1100000000000003</v>
      </c>
      <c r="B85" s="55" t="s">
        <v>240</v>
      </c>
      <c r="C85" s="77" t="s">
        <v>21</v>
      </c>
      <c r="D85" s="283">
        <v>3</v>
      </c>
      <c r="E85" s="110">
        <v>3729.2233299999998</v>
      </c>
      <c r="F85" s="110">
        <f t="shared" ref="F85:F137" si="5">D85*E85</f>
        <v>11187.669989999999</v>
      </c>
      <c r="G85" s="176"/>
      <c r="H85" s="176"/>
      <c r="I85" s="187"/>
      <c r="J85" s="285"/>
      <c r="K85" s="282"/>
      <c r="L85" s="41"/>
      <c r="M85" s="41"/>
    </row>
    <row r="86" spans="1:13">
      <c r="A86" s="177">
        <v>5.12</v>
      </c>
      <c r="B86" s="55" t="s">
        <v>241</v>
      </c>
      <c r="C86" s="77" t="s">
        <v>21</v>
      </c>
      <c r="D86" s="283">
        <v>4</v>
      </c>
      <c r="E86" s="110">
        <v>5573.75</v>
      </c>
      <c r="F86" s="110">
        <f t="shared" si="5"/>
        <v>22295</v>
      </c>
      <c r="G86" s="176"/>
      <c r="H86" s="176"/>
      <c r="I86" s="187"/>
      <c r="J86" s="285"/>
      <c r="K86" s="282"/>
      <c r="L86" s="41"/>
      <c r="M86" s="41"/>
    </row>
    <row r="87" spans="1:13">
      <c r="A87" s="177">
        <v>5.13</v>
      </c>
      <c r="B87" s="55" t="s">
        <v>242</v>
      </c>
      <c r="C87" s="77" t="s">
        <v>21</v>
      </c>
      <c r="D87" s="283">
        <v>1</v>
      </c>
      <c r="E87" s="110">
        <v>2354.5300000000002</v>
      </c>
      <c r="F87" s="110">
        <f t="shared" si="5"/>
        <v>2354.5300000000002</v>
      </c>
      <c r="G87" s="176"/>
      <c r="H87" s="176"/>
      <c r="I87" s="187"/>
      <c r="J87" s="285"/>
      <c r="K87" s="282"/>
      <c r="L87" s="41"/>
      <c r="M87" s="41"/>
    </row>
    <row r="88" spans="1:13" ht="24">
      <c r="A88" s="177">
        <v>5.14</v>
      </c>
      <c r="B88" s="55" t="s">
        <v>243</v>
      </c>
      <c r="C88" s="77" t="s">
        <v>21</v>
      </c>
      <c r="D88" s="283">
        <v>1</v>
      </c>
      <c r="E88" s="110">
        <v>245000</v>
      </c>
      <c r="F88" s="110">
        <f t="shared" si="5"/>
        <v>245000</v>
      </c>
      <c r="G88" s="176"/>
      <c r="H88" s="176"/>
      <c r="I88" s="187"/>
      <c r="J88" s="285"/>
      <c r="K88" s="282"/>
      <c r="L88" s="41"/>
      <c r="M88" s="41"/>
    </row>
    <row r="89" spans="1:13" ht="36">
      <c r="A89" s="177">
        <v>5.15</v>
      </c>
      <c r="B89" s="55" t="s">
        <v>244</v>
      </c>
      <c r="C89" s="77" t="s">
        <v>21</v>
      </c>
      <c r="D89" s="283">
        <v>1</v>
      </c>
      <c r="E89" s="110">
        <v>17899.490000000002</v>
      </c>
      <c r="F89" s="110">
        <f t="shared" si="5"/>
        <v>17899.490000000002</v>
      </c>
      <c r="G89" s="176"/>
      <c r="H89" s="176"/>
      <c r="I89" s="187"/>
      <c r="J89" s="285"/>
      <c r="K89" s="282"/>
      <c r="L89" s="41"/>
      <c r="M89" s="41"/>
    </row>
    <row r="90" spans="1:13" ht="24">
      <c r="A90" s="177">
        <v>5.16</v>
      </c>
      <c r="B90" s="55" t="s">
        <v>245</v>
      </c>
      <c r="C90" s="77" t="s">
        <v>21</v>
      </c>
      <c r="D90" s="283">
        <v>1</v>
      </c>
      <c r="E90" s="110">
        <v>56666.58</v>
      </c>
      <c r="F90" s="110">
        <f t="shared" si="5"/>
        <v>56666.58</v>
      </c>
      <c r="G90" s="176"/>
      <c r="H90" s="176"/>
      <c r="I90" s="187"/>
      <c r="J90" s="285"/>
      <c r="K90" s="282"/>
      <c r="L90" s="41"/>
      <c r="M90" s="41"/>
    </row>
    <row r="91" spans="1:13" ht="24">
      <c r="A91" s="177">
        <v>5.17</v>
      </c>
      <c r="B91" s="55" t="s">
        <v>246</v>
      </c>
      <c r="C91" s="77" t="s">
        <v>21</v>
      </c>
      <c r="D91" s="283">
        <v>1</v>
      </c>
      <c r="E91" s="110">
        <v>4413.18</v>
      </c>
      <c r="F91" s="110">
        <f t="shared" si="5"/>
        <v>4413.18</v>
      </c>
      <c r="G91" s="176"/>
      <c r="H91" s="176"/>
      <c r="I91" s="187"/>
      <c r="J91" s="285"/>
      <c r="K91" s="282"/>
      <c r="L91" s="41"/>
      <c r="M91" s="41"/>
    </row>
    <row r="92" spans="1:13" ht="24">
      <c r="A92" s="177">
        <v>5.18</v>
      </c>
      <c r="B92" s="55" t="s">
        <v>247</v>
      </c>
      <c r="C92" s="77" t="s">
        <v>21</v>
      </c>
      <c r="D92" s="283">
        <v>2</v>
      </c>
      <c r="E92" s="110">
        <v>2829.2750000000001</v>
      </c>
      <c r="F92" s="110">
        <f t="shared" si="5"/>
        <v>5658.55</v>
      </c>
      <c r="G92" s="176"/>
      <c r="H92" s="176"/>
      <c r="I92" s="187"/>
      <c r="J92" s="285"/>
      <c r="K92" s="282"/>
      <c r="L92" s="41"/>
      <c r="M92" s="41"/>
    </row>
    <row r="93" spans="1:13" ht="36">
      <c r="A93" s="177">
        <v>5.19</v>
      </c>
      <c r="B93" s="55" t="s">
        <v>248</v>
      </c>
      <c r="C93" s="77" t="s">
        <v>21</v>
      </c>
      <c r="D93" s="283">
        <v>1</v>
      </c>
      <c r="E93" s="110">
        <v>8764.35</v>
      </c>
      <c r="F93" s="110">
        <f t="shared" si="5"/>
        <v>8764.35</v>
      </c>
      <c r="G93" s="176"/>
      <c r="H93" s="176"/>
      <c r="I93" s="187"/>
      <c r="J93" s="285"/>
      <c r="K93" s="282"/>
      <c r="L93" s="41"/>
      <c r="M93" s="41"/>
    </row>
    <row r="94" spans="1:13" ht="36">
      <c r="A94" s="177">
        <v>5.2</v>
      </c>
      <c r="B94" s="55" t="s">
        <v>249</v>
      </c>
      <c r="C94" s="77" t="s">
        <v>21</v>
      </c>
      <c r="D94" s="283">
        <v>1</v>
      </c>
      <c r="E94" s="110">
        <v>5374.8</v>
      </c>
      <c r="F94" s="110">
        <f t="shared" si="5"/>
        <v>5374.8</v>
      </c>
      <c r="G94" s="176"/>
      <c r="H94" s="176"/>
      <c r="I94" s="187"/>
      <c r="J94" s="285"/>
      <c r="K94" s="282"/>
      <c r="L94" s="41"/>
      <c r="M94" s="41"/>
    </row>
    <row r="95" spans="1:13">
      <c r="A95" s="177"/>
      <c r="B95" s="182" t="s">
        <v>39</v>
      </c>
      <c r="C95" s="81"/>
      <c r="D95" s="289"/>
      <c r="E95" s="185"/>
      <c r="F95" s="185">
        <f>SUM(F75:F94)</f>
        <v>884985.77998070011</v>
      </c>
      <c r="G95" s="176"/>
      <c r="H95" s="176"/>
      <c r="I95" s="187"/>
      <c r="J95" s="285"/>
      <c r="K95" s="282"/>
      <c r="L95" s="41"/>
      <c r="M95" s="41"/>
    </row>
    <row r="96" spans="1:13" ht="24">
      <c r="A96" s="180">
        <v>5.0999999999999996</v>
      </c>
      <c r="B96" s="182" t="s">
        <v>250</v>
      </c>
      <c r="C96" s="77"/>
      <c r="D96" s="283"/>
      <c r="E96" s="110"/>
      <c r="F96" s="110"/>
      <c r="G96" s="176"/>
      <c r="H96" s="176"/>
      <c r="I96" s="187"/>
      <c r="J96" s="285"/>
      <c r="K96" s="282"/>
      <c r="L96" s="41"/>
      <c r="M96" s="41"/>
    </row>
    <row r="97" spans="1:14" ht="24">
      <c r="A97" s="177">
        <v>5.1100000000000003</v>
      </c>
      <c r="B97" s="55" t="s">
        <v>206</v>
      </c>
      <c r="C97" s="77" t="s">
        <v>45</v>
      </c>
      <c r="D97" s="283">
        <v>56.84</v>
      </c>
      <c r="E97" s="110">
        <v>258.15675599999997</v>
      </c>
      <c r="F97" s="110">
        <f t="shared" si="5"/>
        <v>14673.630011039999</v>
      </c>
      <c r="G97" s="176"/>
      <c r="H97" s="176"/>
      <c r="I97" s="187"/>
      <c r="J97" s="285"/>
      <c r="K97" s="282"/>
      <c r="L97" s="41"/>
      <c r="M97" s="41"/>
    </row>
    <row r="98" spans="1:14" ht="24">
      <c r="A98" s="177">
        <v>5.12</v>
      </c>
      <c r="B98" s="55" t="s">
        <v>251</v>
      </c>
      <c r="C98" s="77" t="s">
        <v>45</v>
      </c>
      <c r="D98" s="283">
        <v>1.79</v>
      </c>
      <c r="E98" s="110">
        <v>1285.83</v>
      </c>
      <c r="F98" s="110">
        <f t="shared" si="5"/>
        <v>2301.6356999999998</v>
      </c>
      <c r="G98" s="176"/>
      <c r="H98" s="176"/>
      <c r="I98" s="187"/>
      <c r="J98" s="285"/>
      <c r="K98" s="282"/>
      <c r="L98" s="41"/>
      <c r="M98" s="41"/>
    </row>
    <row r="99" spans="1:14" ht="48">
      <c r="A99" s="177">
        <v>5.13</v>
      </c>
      <c r="B99" s="55" t="s">
        <v>207</v>
      </c>
      <c r="C99" s="77" t="s">
        <v>45</v>
      </c>
      <c r="D99" s="283">
        <v>49.11</v>
      </c>
      <c r="E99" s="110">
        <v>132.373244</v>
      </c>
      <c r="F99" s="110">
        <f t="shared" si="5"/>
        <v>6500.8500128400001</v>
      </c>
      <c r="G99" s="176"/>
      <c r="H99" s="176"/>
      <c r="I99" s="187"/>
      <c r="J99" s="285"/>
      <c r="K99" s="282"/>
      <c r="L99" s="41"/>
      <c r="M99" s="41"/>
    </row>
    <row r="100" spans="1:14" ht="48">
      <c r="A100" s="177">
        <v>5.14</v>
      </c>
      <c r="B100" s="55" t="s">
        <v>208</v>
      </c>
      <c r="C100" s="77" t="s">
        <v>45</v>
      </c>
      <c r="D100" s="283">
        <v>9.2799999999999994</v>
      </c>
      <c r="E100" s="110">
        <v>200.60668100000001</v>
      </c>
      <c r="F100" s="110">
        <f t="shared" si="5"/>
        <v>1861.6299996799999</v>
      </c>
      <c r="G100" s="176"/>
      <c r="H100" s="176"/>
      <c r="I100" s="187"/>
      <c r="J100" s="285"/>
      <c r="K100" s="282"/>
      <c r="L100" s="41"/>
      <c r="M100" s="41"/>
      <c r="N100" t="s">
        <v>11</v>
      </c>
    </row>
    <row r="101" spans="1:14">
      <c r="A101" s="177"/>
      <c r="B101" s="182" t="s">
        <v>39</v>
      </c>
      <c r="C101" s="81"/>
      <c r="D101" s="289"/>
      <c r="E101" s="185"/>
      <c r="F101" s="185">
        <f>SUM(F97:F100)</f>
        <v>25337.745723560001</v>
      </c>
      <c r="G101" s="176"/>
      <c r="H101" s="176"/>
      <c r="I101" s="187"/>
      <c r="J101" s="285"/>
      <c r="K101" s="282"/>
      <c r="L101" s="41"/>
      <c r="M101" s="41"/>
    </row>
    <row r="102" spans="1:14" ht="24">
      <c r="A102" s="180" t="s">
        <v>252</v>
      </c>
      <c r="B102" s="182" t="s">
        <v>253</v>
      </c>
      <c r="C102" s="77"/>
      <c r="D102" s="283"/>
      <c r="E102" s="110"/>
      <c r="F102" s="110"/>
      <c r="G102" s="176"/>
      <c r="H102" s="176"/>
      <c r="I102" s="187"/>
      <c r="J102" s="285"/>
      <c r="K102" s="282"/>
      <c r="L102" s="41"/>
      <c r="M102" s="41"/>
    </row>
    <row r="103" spans="1:14" ht="24">
      <c r="A103" s="177">
        <v>1</v>
      </c>
      <c r="B103" s="55" t="s">
        <v>150</v>
      </c>
      <c r="C103" s="77"/>
      <c r="D103" s="283"/>
      <c r="E103" s="110"/>
      <c r="F103" s="110"/>
      <c r="G103" s="176"/>
      <c r="H103" s="176"/>
      <c r="I103" s="187"/>
      <c r="J103" s="285"/>
      <c r="K103" s="282"/>
      <c r="L103" s="41"/>
      <c r="M103" s="41"/>
    </row>
    <row r="104" spans="1:14" ht="72">
      <c r="A104" s="177">
        <v>1.01</v>
      </c>
      <c r="B104" s="55" t="s">
        <v>254</v>
      </c>
      <c r="C104" s="77" t="s">
        <v>55</v>
      </c>
      <c r="D104" s="283">
        <v>1</v>
      </c>
      <c r="E104" s="110">
        <v>321812.17</v>
      </c>
      <c r="F104" s="110">
        <f t="shared" si="5"/>
        <v>321812.17</v>
      </c>
      <c r="G104" s="176"/>
      <c r="H104" s="176"/>
      <c r="I104" s="187"/>
      <c r="J104" s="285"/>
      <c r="K104" s="282"/>
      <c r="L104" s="41"/>
      <c r="M104" s="41"/>
    </row>
    <row r="105" spans="1:14" ht="24">
      <c r="A105" s="177">
        <v>1.02</v>
      </c>
      <c r="B105" s="55" t="s">
        <v>152</v>
      </c>
      <c r="C105" s="77" t="s">
        <v>45</v>
      </c>
      <c r="D105" s="283">
        <v>26.4</v>
      </c>
      <c r="E105" s="110">
        <v>258.15681799999999</v>
      </c>
      <c r="F105" s="110">
        <f t="shared" si="5"/>
        <v>6815.3399951999991</v>
      </c>
      <c r="G105" s="176"/>
      <c r="H105" s="176"/>
      <c r="I105" s="187"/>
      <c r="J105" s="285"/>
      <c r="K105" s="282"/>
      <c r="L105" s="41"/>
      <c r="M105" s="41"/>
    </row>
    <row r="106" spans="1:14">
      <c r="A106" s="177">
        <v>1.03</v>
      </c>
      <c r="B106" s="55" t="s">
        <v>255</v>
      </c>
      <c r="C106" s="77" t="s">
        <v>45</v>
      </c>
      <c r="D106" s="283">
        <v>1.7</v>
      </c>
      <c r="E106" s="110">
        <f>2185.92/D106</f>
        <v>1285.8352941176472</v>
      </c>
      <c r="F106" s="110">
        <f t="shared" si="5"/>
        <v>2185.92</v>
      </c>
      <c r="G106" s="176"/>
      <c r="H106" s="176"/>
      <c r="I106" s="187"/>
      <c r="J106" s="285"/>
      <c r="K106" s="282"/>
      <c r="L106" s="41"/>
      <c r="M106" s="41"/>
    </row>
    <row r="107" spans="1:14">
      <c r="A107" s="177">
        <v>1.04</v>
      </c>
      <c r="B107" s="55" t="s">
        <v>126</v>
      </c>
      <c r="C107" s="77" t="s">
        <v>45</v>
      </c>
      <c r="D107" s="283">
        <v>2.21</v>
      </c>
      <c r="E107" s="110">
        <v>200.606335</v>
      </c>
      <c r="F107" s="110">
        <f t="shared" si="5"/>
        <v>443.34000034999997</v>
      </c>
      <c r="G107" s="176"/>
      <c r="H107" s="176"/>
      <c r="I107" s="187"/>
      <c r="J107" s="285"/>
      <c r="K107" s="282"/>
      <c r="L107" s="41"/>
      <c r="M107" s="41"/>
    </row>
    <row r="108" spans="1:14" ht="24">
      <c r="A108" s="177">
        <v>1.05</v>
      </c>
      <c r="B108" s="55" t="s">
        <v>48</v>
      </c>
      <c r="C108" s="77" t="s">
        <v>45</v>
      </c>
      <c r="D108" s="283">
        <v>23.47</v>
      </c>
      <c r="E108" s="110">
        <v>132.34512100000001</v>
      </c>
      <c r="F108" s="110">
        <f t="shared" si="5"/>
        <v>3106.1399898700001</v>
      </c>
      <c r="G108" s="176"/>
      <c r="H108" s="176"/>
      <c r="I108" s="187"/>
      <c r="J108" s="285"/>
      <c r="K108" s="282"/>
      <c r="L108" s="41"/>
      <c r="M108" s="41"/>
    </row>
    <row r="109" spans="1:14">
      <c r="A109" s="177"/>
      <c r="B109" s="182" t="s">
        <v>39</v>
      </c>
      <c r="C109" s="81"/>
      <c r="D109" s="289"/>
      <c r="E109" s="185"/>
      <c r="F109" s="185">
        <f>SUM(F104:F108)</f>
        <v>334362.90998542</v>
      </c>
      <c r="G109" s="176"/>
      <c r="H109" s="176"/>
      <c r="I109" s="187"/>
      <c r="J109" s="285"/>
      <c r="K109" s="282"/>
      <c r="L109" s="41"/>
      <c r="M109" s="41"/>
    </row>
    <row r="110" spans="1:14" ht="36">
      <c r="A110" s="180" t="s">
        <v>71</v>
      </c>
      <c r="B110" s="182" t="s">
        <v>256</v>
      </c>
      <c r="C110" s="77"/>
      <c r="D110" s="283"/>
      <c r="E110" s="110"/>
      <c r="F110" s="110"/>
      <c r="G110" s="176"/>
      <c r="H110" s="176"/>
      <c r="I110" s="187"/>
      <c r="J110" s="285"/>
      <c r="K110" s="282"/>
      <c r="L110" s="41"/>
      <c r="M110" s="41"/>
    </row>
    <row r="111" spans="1:14" ht="24">
      <c r="A111" s="85">
        <v>1</v>
      </c>
      <c r="B111" s="55" t="s">
        <v>134</v>
      </c>
      <c r="C111" s="297" t="s">
        <v>21</v>
      </c>
      <c r="D111" s="300">
        <v>16</v>
      </c>
      <c r="E111" s="299">
        <v>3343.41563</v>
      </c>
      <c r="F111" s="110">
        <f t="shared" si="5"/>
        <v>53494.650079999999</v>
      </c>
      <c r="G111" s="176"/>
      <c r="H111" s="176"/>
      <c r="I111" s="187"/>
      <c r="J111" s="285"/>
      <c r="K111" s="282"/>
      <c r="L111" s="41"/>
      <c r="M111" s="41"/>
    </row>
    <row r="112" spans="1:14" ht="24">
      <c r="A112" s="85">
        <v>2</v>
      </c>
      <c r="B112" s="55" t="s">
        <v>135</v>
      </c>
      <c r="C112" s="297" t="s">
        <v>21</v>
      </c>
      <c r="D112" s="283">
        <v>8</v>
      </c>
      <c r="E112" s="110">
        <v>4326.1075000000001</v>
      </c>
      <c r="F112" s="110">
        <f t="shared" si="5"/>
        <v>34608.86</v>
      </c>
      <c r="G112" s="176"/>
      <c r="H112" s="176"/>
      <c r="I112" s="187"/>
      <c r="J112" s="285"/>
      <c r="K112" s="282"/>
      <c r="L112" s="41"/>
      <c r="M112" s="41"/>
    </row>
    <row r="113" spans="1:13" ht="24">
      <c r="A113" s="177">
        <v>3</v>
      </c>
      <c r="B113" s="55" t="s">
        <v>136</v>
      </c>
      <c r="C113" s="297" t="s">
        <v>21</v>
      </c>
      <c r="D113" s="283">
        <v>20</v>
      </c>
      <c r="E113" s="110">
        <v>6435.8085000000001</v>
      </c>
      <c r="F113" s="110">
        <f t="shared" si="5"/>
        <v>128716.17</v>
      </c>
      <c r="G113" s="176"/>
      <c r="H113" s="176"/>
      <c r="I113" s="187"/>
      <c r="J113" s="285"/>
      <c r="K113" s="282"/>
      <c r="L113" s="41"/>
      <c r="M113" s="41"/>
    </row>
    <row r="114" spans="1:13" ht="24">
      <c r="A114" s="177">
        <v>4</v>
      </c>
      <c r="B114" s="55" t="s">
        <v>137</v>
      </c>
      <c r="C114" s="297" t="s">
        <v>21</v>
      </c>
      <c r="D114" s="283">
        <v>12</v>
      </c>
      <c r="E114" s="110">
        <v>9589.5891699999993</v>
      </c>
      <c r="F114" s="110">
        <f t="shared" si="5"/>
        <v>115075.07003999999</v>
      </c>
      <c r="G114" s="176"/>
      <c r="H114" s="176"/>
      <c r="I114" s="187"/>
      <c r="J114" s="285"/>
      <c r="K114" s="282"/>
      <c r="L114" s="41"/>
      <c r="M114" s="41"/>
    </row>
    <row r="115" spans="1:13" ht="48">
      <c r="A115" s="177">
        <v>5</v>
      </c>
      <c r="B115" s="55" t="s">
        <v>257</v>
      </c>
      <c r="C115" s="297" t="s">
        <v>21</v>
      </c>
      <c r="D115" s="283">
        <v>4</v>
      </c>
      <c r="E115" s="110">
        <v>57772.292500000003</v>
      </c>
      <c r="F115" s="110">
        <f t="shared" si="5"/>
        <v>231089.17</v>
      </c>
      <c r="G115" s="176"/>
      <c r="H115" s="176"/>
      <c r="I115" s="187"/>
      <c r="J115" s="285"/>
      <c r="K115" s="282"/>
      <c r="L115" s="41"/>
      <c r="M115" s="41"/>
    </row>
    <row r="116" spans="1:13" ht="48">
      <c r="A116" s="177">
        <v>6</v>
      </c>
      <c r="B116" s="55" t="s">
        <v>258</v>
      </c>
      <c r="C116" s="297" t="s">
        <v>21</v>
      </c>
      <c r="D116" s="283">
        <v>4</v>
      </c>
      <c r="E116" s="110">
        <v>31752.3675</v>
      </c>
      <c r="F116" s="110">
        <f t="shared" si="5"/>
        <v>127009.47</v>
      </c>
      <c r="G116" s="176"/>
      <c r="H116" s="176"/>
      <c r="I116" s="187"/>
      <c r="J116" s="285"/>
      <c r="K116" s="282"/>
      <c r="L116" s="41"/>
      <c r="M116" s="41"/>
    </row>
    <row r="117" spans="1:13" ht="84">
      <c r="A117" s="177">
        <v>7</v>
      </c>
      <c r="B117" s="55" t="s">
        <v>259</v>
      </c>
      <c r="C117" s="297" t="s">
        <v>21</v>
      </c>
      <c r="D117" s="283">
        <v>1</v>
      </c>
      <c r="E117" s="110">
        <v>389670.47</v>
      </c>
      <c r="F117" s="110">
        <f t="shared" si="5"/>
        <v>389670.47</v>
      </c>
      <c r="G117" s="176"/>
      <c r="H117" s="176"/>
      <c r="I117" s="187"/>
      <c r="J117" s="285"/>
      <c r="K117" s="282"/>
      <c r="L117" s="41"/>
      <c r="M117" s="41"/>
    </row>
    <row r="118" spans="1:13">
      <c r="A118" s="177">
        <v>8</v>
      </c>
      <c r="B118" s="55" t="s">
        <v>139</v>
      </c>
      <c r="C118" s="297" t="s">
        <v>21</v>
      </c>
      <c r="D118" s="283">
        <v>48</v>
      </c>
      <c r="E118" s="110">
        <v>1826.4456299999999</v>
      </c>
      <c r="F118" s="110">
        <f t="shared" si="5"/>
        <v>87669.390239999993</v>
      </c>
      <c r="G118" s="176"/>
      <c r="H118" s="176"/>
      <c r="I118" s="187"/>
      <c r="J118" s="285"/>
      <c r="K118" s="282"/>
      <c r="L118" s="41"/>
      <c r="M118" s="41"/>
    </row>
    <row r="119" spans="1:13">
      <c r="A119" s="177">
        <v>9</v>
      </c>
      <c r="B119" s="55" t="s">
        <v>140</v>
      </c>
      <c r="C119" s="297" t="s">
        <v>21</v>
      </c>
      <c r="D119" s="283">
        <v>64</v>
      </c>
      <c r="E119" s="110">
        <v>2756.0495299999998</v>
      </c>
      <c r="F119" s="110">
        <f t="shared" si="5"/>
        <v>176387.16991999999</v>
      </c>
      <c r="G119" s="176"/>
      <c r="H119" s="176"/>
      <c r="I119" s="187"/>
      <c r="J119" s="285"/>
      <c r="K119" s="282"/>
      <c r="L119" s="41"/>
      <c r="M119" s="41"/>
    </row>
    <row r="120" spans="1:13">
      <c r="A120" s="177"/>
      <c r="B120" s="182" t="s">
        <v>39</v>
      </c>
      <c r="C120" s="301"/>
      <c r="D120" s="289"/>
      <c r="E120" s="185"/>
      <c r="F120" s="185">
        <f>SUM(F111:F119)</f>
        <v>1343720.42028</v>
      </c>
      <c r="G120" s="176"/>
      <c r="H120" s="176"/>
      <c r="I120" s="187"/>
      <c r="J120" s="285"/>
      <c r="K120" s="282"/>
      <c r="L120" s="41"/>
      <c r="M120" s="41"/>
    </row>
    <row r="121" spans="1:13">
      <c r="A121" s="180" t="s">
        <v>148</v>
      </c>
      <c r="B121" s="182" t="s">
        <v>58</v>
      </c>
      <c r="C121" s="297"/>
      <c r="D121" s="283"/>
      <c r="E121" s="110"/>
      <c r="F121" s="110"/>
      <c r="G121" s="176"/>
      <c r="H121" s="176"/>
      <c r="I121" s="187"/>
      <c r="J121" s="285"/>
      <c r="K121" s="282"/>
      <c r="L121" s="41"/>
      <c r="M121" s="41"/>
    </row>
    <row r="122" spans="1:13" ht="84">
      <c r="A122" s="85">
        <v>1</v>
      </c>
      <c r="B122" s="55" t="s">
        <v>260</v>
      </c>
      <c r="C122" s="297" t="s">
        <v>21</v>
      </c>
      <c r="D122" s="283">
        <v>1</v>
      </c>
      <c r="E122" s="110">
        <v>491973.76</v>
      </c>
      <c r="F122" s="110">
        <f t="shared" si="5"/>
        <v>491973.76</v>
      </c>
      <c r="G122" s="176"/>
      <c r="H122" s="176"/>
      <c r="I122" s="187"/>
      <c r="J122" s="285"/>
      <c r="K122" s="282"/>
      <c r="L122" s="41"/>
      <c r="M122" s="41"/>
    </row>
    <row r="123" spans="1:13" ht="72">
      <c r="A123" s="177">
        <v>2</v>
      </c>
      <c r="B123" s="55" t="s">
        <v>261</v>
      </c>
      <c r="C123" s="297" t="s">
        <v>21</v>
      </c>
      <c r="D123" s="283">
        <v>1</v>
      </c>
      <c r="E123" s="110">
        <v>45733.62</v>
      </c>
      <c r="F123" s="110">
        <f t="shared" si="5"/>
        <v>45733.62</v>
      </c>
      <c r="G123" s="176"/>
      <c r="H123" s="176"/>
      <c r="I123" s="187"/>
      <c r="J123" s="285"/>
      <c r="K123" s="282"/>
      <c r="L123" s="41"/>
      <c r="M123" s="41"/>
    </row>
    <row r="124" spans="1:13" ht="72">
      <c r="A124" s="177">
        <v>3</v>
      </c>
      <c r="B124" s="55" t="s">
        <v>262</v>
      </c>
      <c r="C124" s="297" t="s">
        <v>21</v>
      </c>
      <c r="D124" s="283">
        <v>1</v>
      </c>
      <c r="E124" s="110">
        <v>41924.949999999997</v>
      </c>
      <c r="F124" s="110">
        <f t="shared" si="5"/>
        <v>41924.949999999997</v>
      </c>
      <c r="G124" s="176"/>
      <c r="H124" s="176"/>
      <c r="I124" s="187"/>
      <c r="J124" s="285"/>
      <c r="K124" s="282"/>
      <c r="L124" s="41"/>
      <c r="M124" s="41"/>
    </row>
    <row r="125" spans="1:13" ht="36">
      <c r="A125" s="177">
        <v>4</v>
      </c>
      <c r="B125" s="55" t="s">
        <v>263</v>
      </c>
      <c r="C125" s="297" t="s">
        <v>21</v>
      </c>
      <c r="D125" s="283">
        <v>1</v>
      </c>
      <c r="E125" s="110">
        <v>15710.07</v>
      </c>
      <c r="F125" s="110">
        <f t="shared" si="5"/>
        <v>15710.07</v>
      </c>
      <c r="G125" s="176"/>
      <c r="H125" s="176"/>
      <c r="I125" s="187"/>
      <c r="J125" s="285"/>
      <c r="K125" s="282"/>
      <c r="L125" s="41"/>
      <c r="M125" s="41"/>
    </row>
    <row r="126" spans="1:13" ht="60">
      <c r="A126" s="85">
        <v>5</v>
      </c>
      <c r="B126" s="55" t="s">
        <v>264</v>
      </c>
      <c r="C126" s="297" t="s">
        <v>21</v>
      </c>
      <c r="D126" s="300">
        <v>1</v>
      </c>
      <c r="E126" s="299">
        <v>7767.63</v>
      </c>
      <c r="F126" s="110">
        <f t="shared" si="5"/>
        <v>7767.63</v>
      </c>
      <c r="G126" s="176"/>
      <c r="H126" s="176"/>
      <c r="I126" s="187"/>
      <c r="J126" s="285"/>
      <c r="K126" s="282"/>
      <c r="L126" s="41"/>
      <c r="M126" s="41"/>
    </row>
    <row r="127" spans="1:13" ht="36">
      <c r="A127" s="85">
        <v>6</v>
      </c>
      <c r="B127" s="55" t="s">
        <v>64</v>
      </c>
      <c r="C127" s="297" t="s">
        <v>21</v>
      </c>
      <c r="D127" s="283">
        <v>1</v>
      </c>
      <c r="E127" s="110">
        <v>2005.2</v>
      </c>
      <c r="F127" s="110">
        <f t="shared" si="5"/>
        <v>2005.2</v>
      </c>
      <c r="G127" s="176"/>
      <c r="H127" s="176"/>
      <c r="I127" s="187"/>
      <c r="J127" s="285"/>
      <c r="K127" s="282"/>
      <c r="L127" s="41"/>
      <c r="M127" s="41"/>
    </row>
    <row r="128" spans="1:13" ht="48">
      <c r="A128" s="177">
        <v>7</v>
      </c>
      <c r="B128" s="55" t="s">
        <v>265</v>
      </c>
      <c r="C128" s="77" t="s">
        <v>38</v>
      </c>
      <c r="D128" s="283">
        <v>16</v>
      </c>
      <c r="E128" s="110">
        <v>3780</v>
      </c>
      <c r="F128" s="110">
        <f t="shared" si="5"/>
        <v>60480</v>
      </c>
      <c r="G128" s="176"/>
      <c r="H128" s="176"/>
      <c r="I128" s="187"/>
      <c r="J128" s="285"/>
      <c r="K128" s="282"/>
      <c r="L128" s="41"/>
      <c r="M128" s="41"/>
    </row>
    <row r="129" spans="1:13">
      <c r="A129" s="177"/>
      <c r="B129" s="182" t="s">
        <v>39</v>
      </c>
      <c r="C129" s="81"/>
      <c r="D129" s="289"/>
      <c r="E129" s="185"/>
      <c r="F129" s="185">
        <f>SUM(F122:F128)</f>
        <v>665595.22999999986</v>
      </c>
      <c r="G129" s="176"/>
      <c r="H129" s="176"/>
      <c r="I129" s="187"/>
      <c r="J129" s="285"/>
      <c r="K129" s="282"/>
      <c r="L129" s="41"/>
      <c r="M129" s="41"/>
    </row>
    <row r="130" spans="1:13">
      <c r="A130" s="177" t="s">
        <v>154</v>
      </c>
      <c r="B130" s="182" t="s">
        <v>68</v>
      </c>
      <c r="C130" s="77"/>
      <c r="D130" s="283"/>
      <c r="E130" s="110"/>
      <c r="F130" s="110"/>
      <c r="G130" s="176"/>
      <c r="H130" s="176"/>
      <c r="I130" s="187"/>
      <c r="J130" s="285"/>
      <c r="K130" s="282"/>
      <c r="L130" s="41"/>
      <c r="M130" s="41"/>
    </row>
    <row r="131" spans="1:13" ht="84">
      <c r="A131" s="180">
        <v>1</v>
      </c>
      <c r="B131" s="55" t="s">
        <v>260</v>
      </c>
      <c r="C131" s="77" t="s">
        <v>21</v>
      </c>
      <c r="D131" s="283">
        <v>1</v>
      </c>
      <c r="E131" s="110">
        <v>491973.76</v>
      </c>
      <c r="F131" s="110">
        <f t="shared" si="5"/>
        <v>491973.76</v>
      </c>
      <c r="G131" s="302"/>
      <c r="H131" s="303"/>
      <c r="I131" s="304"/>
      <c r="J131" s="305"/>
      <c r="K131" s="282"/>
      <c r="L131" s="41"/>
      <c r="M131" s="41"/>
    </row>
    <row r="132" spans="1:13" ht="72">
      <c r="A132" s="177">
        <v>2</v>
      </c>
      <c r="B132" s="55" t="s">
        <v>261</v>
      </c>
      <c r="C132" s="77" t="s">
        <v>21</v>
      </c>
      <c r="D132" s="283">
        <v>1</v>
      </c>
      <c r="E132" s="110">
        <v>45733.62</v>
      </c>
      <c r="F132" s="110">
        <f t="shared" si="5"/>
        <v>45733.62</v>
      </c>
      <c r="G132" s="176"/>
      <c r="H132" s="176"/>
      <c r="I132" s="187"/>
      <c r="J132" s="285"/>
      <c r="K132" s="282"/>
      <c r="L132" s="41"/>
      <c r="M132" s="41"/>
    </row>
    <row r="133" spans="1:13" ht="72">
      <c r="A133" s="177">
        <v>3</v>
      </c>
      <c r="B133" s="55" t="s">
        <v>262</v>
      </c>
      <c r="C133" s="77" t="s">
        <v>21</v>
      </c>
      <c r="D133" s="283">
        <v>1</v>
      </c>
      <c r="E133" s="110">
        <v>41924.949999999997</v>
      </c>
      <c r="F133" s="110">
        <f t="shared" si="5"/>
        <v>41924.949999999997</v>
      </c>
      <c r="G133" s="176"/>
      <c r="H133" s="176"/>
      <c r="I133" s="187"/>
      <c r="J133" s="285"/>
      <c r="K133" s="282"/>
      <c r="L133" s="41"/>
      <c r="M133" s="41"/>
    </row>
    <row r="134" spans="1:13" ht="36">
      <c r="A134" s="177">
        <v>4</v>
      </c>
      <c r="B134" s="55" t="s">
        <v>266</v>
      </c>
      <c r="C134" s="77" t="s">
        <v>21</v>
      </c>
      <c r="D134" s="283">
        <v>1</v>
      </c>
      <c r="E134" s="110">
        <v>15710.07</v>
      </c>
      <c r="F134" s="110">
        <f t="shared" si="5"/>
        <v>15710.07</v>
      </c>
      <c r="G134" s="176"/>
      <c r="H134" s="176"/>
      <c r="I134" s="187"/>
      <c r="J134" s="285"/>
      <c r="K134" s="282"/>
      <c r="L134" s="41"/>
      <c r="M134" s="41"/>
    </row>
    <row r="135" spans="1:13" ht="60">
      <c r="A135" s="180">
        <v>5</v>
      </c>
      <c r="B135" s="55" t="s">
        <v>264</v>
      </c>
      <c r="C135" s="77" t="s">
        <v>21</v>
      </c>
      <c r="D135" s="283">
        <v>1</v>
      </c>
      <c r="E135" s="110">
        <v>7767.63</v>
      </c>
      <c r="F135" s="110">
        <f t="shared" si="5"/>
        <v>7767.63</v>
      </c>
      <c r="G135" s="176"/>
      <c r="H135" s="176"/>
      <c r="I135" s="187"/>
      <c r="J135" s="285"/>
      <c r="K135" s="282"/>
      <c r="L135" s="41"/>
      <c r="M135" s="41"/>
    </row>
    <row r="136" spans="1:13" ht="36">
      <c r="A136" s="177">
        <v>6</v>
      </c>
      <c r="B136" s="55" t="s">
        <v>64</v>
      </c>
      <c r="C136" s="77" t="s">
        <v>21</v>
      </c>
      <c r="D136" s="283">
        <v>1</v>
      </c>
      <c r="E136" s="110">
        <v>2005.2</v>
      </c>
      <c r="F136" s="110">
        <f t="shared" si="5"/>
        <v>2005.2</v>
      </c>
      <c r="G136" s="176"/>
      <c r="H136" s="176"/>
      <c r="I136" s="187"/>
      <c r="J136" s="285"/>
      <c r="K136" s="282"/>
      <c r="L136" s="41"/>
      <c r="M136" s="41"/>
    </row>
    <row r="137" spans="1:13" ht="48">
      <c r="A137" s="177">
        <v>7</v>
      </c>
      <c r="B137" s="55" t="s">
        <v>265</v>
      </c>
      <c r="C137" s="77" t="s">
        <v>38</v>
      </c>
      <c r="D137" s="283">
        <v>16</v>
      </c>
      <c r="E137" s="110">
        <v>3780</v>
      </c>
      <c r="F137" s="110">
        <f t="shared" si="5"/>
        <v>60480</v>
      </c>
      <c r="G137" s="176"/>
      <c r="H137" s="176"/>
      <c r="I137" s="187"/>
      <c r="J137" s="285"/>
      <c r="K137" s="282"/>
      <c r="L137" s="41"/>
      <c r="M137" s="41"/>
    </row>
    <row r="138" spans="1:13">
      <c r="A138" s="177"/>
      <c r="B138" s="182" t="s">
        <v>39</v>
      </c>
      <c r="C138" s="81"/>
      <c r="D138" s="289"/>
      <c r="E138" s="185"/>
      <c r="F138" s="185">
        <f>SUM(F131:F137)</f>
        <v>665595.22999999986</v>
      </c>
      <c r="G138" s="176"/>
      <c r="H138" s="176"/>
      <c r="I138" s="187"/>
      <c r="J138" s="285"/>
      <c r="K138" s="282"/>
      <c r="L138" s="41"/>
      <c r="M138" s="41"/>
    </row>
    <row r="139" spans="1:13">
      <c r="A139" s="177" t="s">
        <v>267</v>
      </c>
      <c r="B139" s="55" t="s">
        <v>156</v>
      </c>
      <c r="C139" s="77"/>
      <c r="D139" s="283"/>
      <c r="E139" s="110"/>
      <c r="F139" s="110"/>
      <c r="G139" s="176"/>
      <c r="H139" s="176"/>
      <c r="I139" s="187"/>
      <c r="J139" s="285"/>
      <c r="K139" s="282"/>
      <c r="L139" s="41"/>
      <c r="M139" s="41"/>
    </row>
    <row r="140" spans="1:13">
      <c r="A140" s="177">
        <v>1</v>
      </c>
      <c r="B140" s="55" t="s">
        <v>156</v>
      </c>
      <c r="C140" s="77" t="s">
        <v>55</v>
      </c>
      <c r="D140" s="283">
        <v>1</v>
      </c>
      <c r="E140" s="110">
        <v>1200000</v>
      </c>
      <c r="F140" s="110">
        <f>D140*E140</f>
        <v>1200000</v>
      </c>
      <c r="G140" s="176"/>
      <c r="H140" s="176"/>
      <c r="I140" s="187"/>
      <c r="J140" s="285"/>
      <c r="K140" s="282"/>
      <c r="L140" s="41"/>
      <c r="M140" s="41"/>
    </row>
    <row r="141" spans="1:13">
      <c r="A141" s="85"/>
      <c r="B141" s="182" t="s">
        <v>39</v>
      </c>
      <c r="C141" s="81"/>
      <c r="D141" s="289"/>
      <c r="E141" s="185"/>
      <c r="F141" s="185">
        <f>F140</f>
        <v>1200000</v>
      </c>
      <c r="G141" s="176"/>
      <c r="H141" s="176"/>
      <c r="I141" s="187"/>
      <c r="J141" s="285"/>
      <c r="K141" s="282"/>
      <c r="L141" s="41"/>
      <c r="M141" s="41"/>
    </row>
    <row r="142" spans="1:13">
      <c r="A142" s="306"/>
      <c r="B142" s="206" t="s">
        <v>82</v>
      </c>
      <c r="C142" s="307"/>
      <c r="D142" s="308"/>
      <c r="E142" s="309"/>
      <c r="F142" s="310">
        <f>F141+F138+F129+F120+F109+F101+F95+F73+F65+F53+F48+F43+F40+F34+F28+F24+F18-0.019</f>
        <v>24223599.790570319</v>
      </c>
      <c r="G142" s="311"/>
      <c r="H142" s="312"/>
      <c r="I142" s="313"/>
      <c r="J142" s="314"/>
      <c r="K142" s="315"/>
      <c r="L142" s="316">
        <f>L40+L33+L24+L17+L14</f>
        <v>6776734.6788530098</v>
      </c>
      <c r="M142" s="316"/>
    </row>
    <row r="143" spans="1:13">
      <c r="A143" s="317"/>
      <c r="B143" s="318"/>
      <c r="C143" s="205"/>
      <c r="D143" s="319"/>
      <c r="E143" s="320"/>
      <c r="F143" s="320"/>
      <c r="G143" s="205"/>
      <c r="H143" s="205"/>
      <c r="I143" s="205"/>
      <c r="J143" s="205"/>
      <c r="K143" s="321"/>
      <c r="L143" s="321"/>
      <c r="M143" s="321"/>
    </row>
    <row r="144" spans="1:13">
      <c r="A144" s="317"/>
      <c r="B144" s="318"/>
      <c r="C144" s="205"/>
      <c r="D144" s="319"/>
      <c r="E144" s="320"/>
      <c r="F144" s="320"/>
      <c r="G144" s="205"/>
      <c r="H144" s="205"/>
      <c r="I144" s="205"/>
      <c r="J144" s="205"/>
      <c r="K144" s="321"/>
      <c r="L144" s="321"/>
      <c r="M144" s="321"/>
    </row>
    <row r="145" spans="1:13">
      <c r="A145" s="317"/>
      <c r="B145" s="318"/>
      <c r="C145" s="205"/>
      <c r="D145" s="319"/>
      <c r="E145" s="320"/>
      <c r="F145" s="320"/>
      <c r="G145" s="205"/>
      <c r="H145" s="205"/>
      <c r="I145" s="205"/>
      <c r="J145" s="205"/>
      <c r="K145" s="321"/>
      <c r="L145" s="321"/>
      <c r="M145" s="321"/>
    </row>
    <row r="146" spans="1:13">
      <c r="A146" s="317"/>
      <c r="B146" s="318"/>
      <c r="C146" s="205"/>
      <c r="D146" s="319"/>
      <c r="E146" s="320"/>
      <c r="F146" s="320"/>
      <c r="G146" s="205"/>
      <c r="H146" s="205"/>
      <c r="I146" s="205"/>
      <c r="J146" s="205"/>
      <c r="K146" s="321"/>
      <c r="L146" s="321"/>
      <c r="M146" s="321"/>
    </row>
    <row r="147" spans="1:13">
      <c r="A147" s="322"/>
      <c r="B147" s="323"/>
      <c r="C147" s="324"/>
      <c r="D147" s="325"/>
      <c r="E147" s="326"/>
      <c r="F147" s="326"/>
      <c r="G147" s="324"/>
      <c r="H147" s="324"/>
      <c r="I147" s="324"/>
      <c r="J147" s="324"/>
      <c r="K147" s="324"/>
      <c r="L147" s="324"/>
      <c r="M147" s="324"/>
    </row>
    <row r="148" spans="1:13">
      <c r="A148" s="317"/>
      <c r="B148" s="318"/>
      <c r="C148" s="205"/>
      <c r="D148" s="319"/>
      <c r="E148" s="320"/>
      <c r="F148" s="320"/>
      <c r="G148" s="205"/>
      <c r="H148" s="205"/>
      <c r="I148" s="205"/>
      <c r="J148" s="205"/>
      <c r="K148" s="321"/>
      <c r="L148" s="321"/>
      <c r="M148" s="321"/>
    </row>
    <row r="149" spans="1:13">
      <c r="A149" s="317"/>
      <c r="B149" s="318"/>
      <c r="C149" s="205"/>
      <c r="D149" s="319"/>
      <c r="E149" s="320"/>
      <c r="F149" s="320"/>
      <c r="G149" s="205"/>
      <c r="H149" s="205"/>
      <c r="I149" s="205"/>
      <c r="J149" s="205"/>
      <c r="K149" s="321"/>
      <c r="L149" s="321"/>
      <c r="M149" s="321"/>
    </row>
    <row r="150" spans="1:13">
      <c r="A150" s="317"/>
      <c r="B150" s="318"/>
      <c r="C150" s="205"/>
      <c r="D150" s="319"/>
      <c r="E150" s="320"/>
      <c r="F150" s="320"/>
      <c r="G150" s="205"/>
      <c r="H150" s="205"/>
      <c r="I150" s="205"/>
      <c r="J150" s="205"/>
      <c r="K150" s="321"/>
      <c r="L150" s="321"/>
      <c r="M150" s="321"/>
    </row>
    <row r="151" spans="1:13">
      <c r="A151" s="317"/>
      <c r="B151" s="318"/>
      <c r="C151" s="205"/>
      <c r="D151" s="319"/>
      <c r="E151" s="320"/>
      <c r="F151" s="320"/>
      <c r="G151" s="205"/>
      <c r="H151" s="205"/>
      <c r="I151" s="205"/>
      <c r="J151" s="205"/>
      <c r="K151" s="321"/>
      <c r="L151" s="321"/>
      <c r="M151" s="321"/>
    </row>
    <row r="152" spans="1:13">
      <c r="A152" s="317"/>
      <c r="B152" s="318"/>
      <c r="C152" s="205"/>
      <c r="D152" s="319"/>
      <c r="E152" s="320"/>
      <c r="F152" s="320"/>
      <c r="G152" s="205"/>
      <c r="H152" s="205"/>
      <c r="I152" s="205"/>
      <c r="J152" s="205"/>
      <c r="K152" s="321"/>
      <c r="L152" s="321"/>
      <c r="M152" s="321"/>
    </row>
    <row r="153" spans="1:13">
      <c r="A153" s="317"/>
      <c r="B153" s="318"/>
      <c r="C153" s="205"/>
      <c r="D153" s="319"/>
      <c r="E153" s="320"/>
      <c r="F153" s="320"/>
      <c r="G153" s="205"/>
      <c r="H153" s="205"/>
      <c r="I153" s="205"/>
      <c r="J153" s="205"/>
      <c r="K153" s="321"/>
      <c r="L153" s="321"/>
      <c r="M153" s="321"/>
    </row>
    <row r="154" spans="1:13">
      <c r="A154" s="317"/>
      <c r="B154" s="318"/>
      <c r="C154" s="205"/>
      <c r="D154" s="319"/>
      <c r="E154" s="320"/>
      <c r="F154" s="320"/>
      <c r="G154" s="205"/>
      <c r="H154" s="205"/>
      <c r="I154" s="205"/>
      <c r="J154" s="205"/>
      <c r="K154" s="321"/>
      <c r="L154" s="321"/>
      <c r="M154" s="321"/>
    </row>
    <row r="155" spans="1:13">
      <c r="A155" s="317"/>
      <c r="B155" s="318"/>
      <c r="C155" s="205"/>
      <c r="D155" s="319"/>
      <c r="E155" s="320"/>
      <c r="F155" s="320"/>
      <c r="G155" s="205"/>
      <c r="H155" s="205"/>
      <c r="I155" s="205"/>
      <c r="J155" s="205"/>
      <c r="K155" s="321"/>
      <c r="L155" s="321"/>
      <c r="M155" s="321"/>
    </row>
    <row r="156" spans="1:13">
      <c r="A156" s="317"/>
      <c r="B156" s="318"/>
      <c r="C156" s="205"/>
      <c r="D156" s="319"/>
      <c r="E156" s="320"/>
      <c r="F156" s="320"/>
      <c r="G156" s="205"/>
      <c r="H156" s="205"/>
      <c r="I156" s="205"/>
      <c r="J156" s="205"/>
      <c r="K156" s="321"/>
      <c r="L156" s="321"/>
      <c r="M156" s="321"/>
    </row>
    <row r="157" spans="1:13">
      <c r="A157" s="317"/>
      <c r="B157" s="318"/>
      <c r="C157" s="205"/>
      <c r="D157" s="319"/>
      <c r="E157" s="320"/>
      <c r="F157" s="320"/>
      <c r="G157" s="205"/>
      <c r="H157" s="205"/>
      <c r="I157" s="205"/>
      <c r="J157" s="205"/>
      <c r="K157" s="321"/>
      <c r="L157" s="321"/>
      <c r="M157" s="321"/>
    </row>
    <row r="158" spans="1:13">
      <c r="A158" s="317"/>
      <c r="B158" s="318"/>
      <c r="C158" s="205"/>
      <c r="D158" s="319"/>
      <c r="E158" s="320"/>
      <c r="F158" s="320"/>
      <c r="G158" s="205"/>
      <c r="H158" s="205"/>
      <c r="I158" s="205"/>
      <c r="J158" s="205"/>
      <c r="K158" s="321"/>
      <c r="L158" s="321"/>
      <c r="M158" s="321"/>
    </row>
    <row r="159" spans="1:13">
      <c r="A159" s="317"/>
      <c r="B159" s="318"/>
      <c r="C159" s="205"/>
      <c r="D159" s="319"/>
      <c r="E159" s="320"/>
      <c r="F159" s="320"/>
      <c r="G159" s="205"/>
      <c r="H159" s="205"/>
      <c r="I159" s="205"/>
      <c r="J159" s="205"/>
      <c r="K159" s="321"/>
      <c r="L159" s="321"/>
      <c r="M159" s="321"/>
    </row>
    <row r="160" spans="1:13" ht="15.75" thickBot="1">
      <c r="A160" s="317"/>
      <c r="B160" s="318"/>
      <c r="C160" s="205"/>
      <c r="D160" s="319"/>
      <c r="E160" s="320"/>
      <c r="F160" s="320"/>
      <c r="G160" s="205"/>
      <c r="H160" s="205"/>
      <c r="I160" s="205"/>
      <c r="J160" s="205"/>
      <c r="K160" s="321"/>
      <c r="L160" s="321"/>
      <c r="M160" s="321"/>
    </row>
    <row r="161" spans="1:13">
      <c r="A161" s="324"/>
      <c r="B161" s="327"/>
      <c r="C161" s="328"/>
      <c r="D161" s="329"/>
      <c r="E161" s="1104" t="s">
        <v>0</v>
      </c>
      <c r="F161" s="1104"/>
      <c r="G161" s="1104"/>
      <c r="H161" s="1104"/>
      <c r="I161" s="1104"/>
      <c r="J161" s="1104"/>
      <c r="K161" s="1104"/>
      <c r="L161" s="328"/>
      <c r="M161" s="330"/>
    </row>
    <row r="162" spans="1:13">
      <c r="A162" s="324"/>
      <c r="B162" s="331"/>
      <c r="C162" s="332"/>
      <c r="D162" s="333"/>
      <c r="E162" s="334"/>
      <c r="F162" s="1106" t="s">
        <v>1</v>
      </c>
      <c r="G162" s="1106"/>
      <c r="H162" s="1106"/>
      <c r="I162" s="332"/>
      <c r="J162" s="332"/>
      <c r="K162" s="332"/>
      <c r="L162" s="332"/>
      <c r="M162" s="335"/>
    </row>
    <row r="163" spans="1:13">
      <c r="A163" s="324"/>
      <c r="B163" s="336"/>
      <c r="C163" s="332"/>
      <c r="D163" s="333"/>
      <c r="E163" s="334"/>
      <c r="F163" s="326"/>
      <c r="G163" s="332"/>
      <c r="H163" s="332"/>
      <c r="I163" s="332"/>
      <c r="J163" s="332"/>
      <c r="K163" s="332"/>
      <c r="L163" s="332"/>
      <c r="M163" s="337" t="s">
        <v>268</v>
      </c>
    </row>
    <row r="164" spans="1:13" ht="21" customHeight="1">
      <c r="A164" s="324"/>
      <c r="B164" s="338"/>
      <c r="C164" s="339" t="s">
        <v>3</v>
      </c>
      <c r="D164" s="1107" t="s">
        <v>269</v>
      </c>
      <c r="E164" s="1107"/>
      <c r="F164" s="1107"/>
      <c r="G164" s="318"/>
      <c r="H164" s="340"/>
      <c r="I164" s="205"/>
      <c r="J164" s="205"/>
      <c r="K164" s="205"/>
      <c r="L164" s="127" t="s">
        <v>5</v>
      </c>
      <c r="M164" s="341" t="s">
        <v>186</v>
      </c>
    </row>
    <row r="165" spans="1:13" ht="24.75">
      <c r="A165" s="324"/>
      <c r="B165" s="338"/>
      <c r="C165" s="342" t="s">
        <v>7</v>
      </c>
      <c r="D165" s="6">
        <v>1</v>
      </c>
      <c r="E165" s="320"/>
      <c r="F165" s="321"/>
      <c r="G165" s="318"/>
      <c r="H165" s="318"/>
      <c r="I165" s="205"/>
      <c r="J165" s="205"/>
      <c r="K165" s="205"/>
      <c r="L165" s="342" t="s">
        <v>8</v>
      </c>
      <c r="M165" s="341" t="s">
        <v>187</v>
      </c>
    </row>
    <row r="166" spans="1:13">
      <c r="A166" s="324"/>
      <c r="B166" s="1108" t="s">
        <v>9</v>
      </c>
      <c r="C166" s="1109"/>
      <c r="D166" s="1107" t="s">
        <v>188</v>
      </c>
      <c r="E166" s="1107"/>
      <c r="F166" s="321"/>
      <c r="G166" s="318"/>
      <c r="H166" s="343"/>
      <c r="I166" s="205"/>
      <c r="J166" s="205"/>
      <c r="K166" s="205"/>
      <c r="L166" s="342" t="s">
        <v>12</v>
      </c>
      <c r="M166" s="344" t="s">
        <v>189</v>
      </c>
    </row>
    <row r="167" spans="1:13">
      <c r="A167" s="324"/>
      <c r="B167" s="338"/>
      <c r="C167" s="342" t="s">
        <v>14</v>
      </c>
      <c r="D167" s="1081" t="s">
        <v>190</v>
      </c>
      <c r="E167" s="1081"/>
      <c r="F167" s="321"/>
      <c r="G167" s="318"/>
      <c r="H167" s="318"/>
      <c r="I167" s="205"/>
      <c r="J167" s="205"/>
      <c r="K167" s="205"/>
      <c r="L167" s="205"/>
      <c r="M167" s="345"/>
    </row>
    <row r="168" spans="1:13">
      <c r="A168" s="324"/>
      <c r="B168" s="331"/>
      <c r="C168" s="342"/>
      <c r="D168" s="346"/>
      <c r="E168" s="321"/>
      <c r="F168" s="321"/>
      <c r="G168" s="318"/>
      <c r="H168" s="324"/>
      <c r="I168" s="324"/>
      <c r="J168" s="324"/>
      <c r="K168" s="205"/>
      <c r="L168" s="205"/>
      <c r="M168" s="345"/>
    </row>
    <row r="169" spans="1:13">
      <c r="A169" s="324"/>
      <c r="B169" s="338"/>
      <c r="C169" s="342"/>
      <c r="D169" s="346"/>
      <c r="E169" s="321"/>
      <c r="F169" s="347" t="s">
        <v>90</v>
      </c>
      <c r="G169" s="318"/>
      <c r="H169" s="1110" t="s">
        <v>25</v>
      </c>
      <c r="I169" s="1110"/>
      <c r="J169" s="1110" t="s">
        <v>26</v>
      </c>
      <c r="K169" s="1110"/>
      <c r="L169" s="1110" t="s">
        <v>27</v>
      </c>
      <c r="M169" s="1111"/>
    </row>
    <row r="170" spans="1:13">
      <c r="A170" s="324"/>
      <c r="B170" s="1112" t="s">
        <v>91</v>
      </c>
      <c r="C170" s="1110"/>
      <c r="D170" s="1110"/>
      <c r="E170" s="1110"/>
      <c r="F170" s="347">
        <f>F142</f>
        <v>24223599.790570319</v>
      </c>
      <c r="G170" s="351"/>
      <c r="H170" s="1113"/>
      <c r="I170" s="1113"/>
      <c r="J170" s="1114">
        <f>L142</f>
        <v>6776734.6788530098</v>
      </c>
      <c r="K170" s="1114"/>
      <c r="L170" s="1115">
        <f>H170+J170</f>
        <v>6776734.6788530098</v>
      </c>
      <c r="M170" s="1116"/>
    </row>
    <row r="171" spans="1:13">
      <c r="A171" s="324"/>
      <c r="B171" s="338"/>
      <c r="C171" s="6" t="s">
        <v>93</v>
      </c>
      <c r="D171" s="346"/>
      <c r="E171" s="321"/>
      <c r="F171" s="321"/>
      <c r="G171" s="318"/>
      <c r="H171" s="318"/>
      <c r="I171" s="205"/>
      <c r="J171" s="205"/>
      <c r="K171" s="324"/>
      <c r="L171" s="205"/>
      <c r="M171" s="355"/>
    </row>
    <row r="172" spans="1:13">
      <c r="A172" s="324"/>
      <c r="B172" s="338"/>
      <c r="C172" s="9" t="s">
        <v>94</v>
      </c>
      <c r="D172" s="346"/>
      <c r="E172" s="321"/>
      <c r="F172" s="321"/>
      <c r="G172" s="318"/>
      <c r="H172" s="318"/>
      <c r="I172" s="205"/>
      <c r="J172" s="205"/>
      <c r="K172" s="324"/>
      <c r="L172" s="356"/>
      <c r="M172" s="357"/>
    </row>
    <row r="173" spans="1:13">
      <c r="A173" s="324"/>
      <c r="B173" s="358"/>
      <c r="C173" s="9" t="s">
        <v>95</v>
      </c>
      <c r="D173" s="359"/>
      <c r="E173" s="360">
        <v>3.5000000000000003E-2</v>
      </c>
      <c r="F173" s="361">
        <f>E173*F170</f>
        <v>847825.99266996118</v>
      </c>
      <c r="G173" s="352"/>
      <c r="H173" s="1117"/>
      <c r="I173" s="1117"/>
      <c r="J173" s="1114">
        <f>J170*E173</f>
        <v>237185.71375985537</v>
      </c>
      <c r="K173" s="1114"/>
      <c r="L173" s="1115">
        <f t="shared" ref="L173:L180" si="6">H173+J173</f>
        <v>237185.71375985537</v>
      </c>
      <c r="M173" s="1116"/>
    </row>
    <row r="174" spans="1:13">
      <c r="A174" s="324"/>
      <c r="B174" s="358"/>
      <c r="C174" s="9" t="s">
        <v>96</v>
      </c>
      <c r="D174" s="359"/>
      <c r="E174" s="360">
        <v>0.1</v>
      </c>
      <c r="F174" s="361">
        <f>E174*F170</f>
        <v>2422359.9790570321</v>
      </c>
      <c r="G174" s="352"/>
      <c r="H174" s="1117"/>
      <c r="I174" s="1117"/>
      <c r="J174" s="1114">
        <f>J170*E174</f>
        <v>677673.46788530098</v>
      </c>
      <c r="K174" s="1114"/>
      <c r="L174" s="1115">
        <f t="shared" si="6"/>
        <v>677673.46788530098</v>
      </c>
      <c r="M174" s="1116"/>
    </row>
    <row r="175" spans="1:13">
      <c r="A175" s="324"/>
      <c r="B175" s="358"/>
      <c r="C175" s="9" t="s">
        <v>97</v>
      </c>
      <c r="D175" s="359"/>
      <c r="E175" s="360">
        <v>0.18</v>
      </c>
      <c r="F175" s="361">
        <f>E175*F174</f>
        <v>436024.79623026575</v>
      </c>
      <c r="G175" s="352"/>
      <c r="H175" s="1117"/>
      <c r="I175" s="1117"/>
      <c r="J175" s="1114">
        <f>J174*E175</f>
        <v>121981.22421935418</v>
      </c>
      <c r="K175" s="1114"/>
      <c r="L175" s="1115">
        <f t="shared" si="6"/>
        <v>121981.22421935418</v>
      </c>
      <c r="M175" s="1116"/>
    </row>
    <row r="176" spans="1:13">
      <c r="A176" s="324"/>
      <c r="B176" s="358"/>
      <c r="C176" s="9" t="s">
        <v>98</v>
      </c>
      <c r="D176" s="359"/>
      <c r="E176" s="360">
        <v>0.03</v>
      </c>
      <c r="F176" s="361">
        <f>E176*F170</f>
        <v>726707.99371710955</v>
      </c>
      <c r="G176" s="352"/>
      <c r="H176" s="1117"/>
      <c r="I176" s="1117"/>
      <c r="J176" s="1114">
        <f>J170*E176</f>
        <v>203302.04036559028</v>
      </c>
      <c r="K176" s="1114"/>
      <c r="L176" s="1115">
        <f t="shared" si="6"/>
        <v>203302.04036559028</v>
      </c>
      <c r="M176" s="1116"/>
    </row>
    <row r="177" spans="1:13">
      <c r="A177" s="324"/>
      <c r="B177" s="358"/>
      <c r="C177" s="9" t="s">
        <v>99</v>
      </c>
      <c r="D177" s="359"/>
      <c r="E177" s="363">
        <v>0.02</v>
      </c>
      <c r="F177" s="361">
        <f>E177*F170</f>
        <v>484471.99581140641</v>
      </c>
      <c r="G177" s="352"/>
      <c r="H177" s="1117"/>
      <c r="I177" s="1117"/>
      <c r="J177" s="1115">
        <f>J170*E177</f>
        <v>135534.69357706018</v>
      </c>
      <c r="K177" s="1115"/>
      <c r="L177" s="1115">
        <f t="shared" si="6"/>
        <v>135534.69357706018</v>
      </c>
      <c r="M177" s="1116"/>
    </row>
    <row r="178" spans="1:13">
      <c r="A178" s="324"/>
      <c r="B178" s="358"/>
      <c r="C178" s="6" t="s">
        <v>100</v>
      </c>
      <c r="D178" s="359"/>
      <c r="E178" s="360">
        <v>0.01</v>
      </c>
      <c r="F178" s="361">
        <f>E178*F170</f>
        <v>242235.9979057032</v>
      </c>
      <c r="G178" s="352"/>
      <c r="H178" s="1117"/>
      <c r="I178" s="1117"/>
      <c r="J178" s="1115">
        <f>J170*E178</f>
        <v>67767.346788530092</v>
      </c>
      <c r="K178" s="1115"/>
      <c r="L178" s="1115">
        <f t="shared" si="6"/>
        <v>67767.346788530092</v>
      </c>
      <c r="M178" s="1116"/>
    </row>
    <row r="179" spans="1:13" ht="24.75">
      <c r="A179" s="324"/>
      <c r="B179" s="358"/>
      <c r="C179" s="6" t="s">
        <v>270</v>
      </c>
      <c r="D179" s="359"/>
      <c r="E179" s="360">
        <v>0.02</v>
      </c>
      <c r="F179" s="361">
        <f>F170*E179</f>
        <v>484471.99581140641</v>
      </c>
      <c r="G179" s="352"/>
      <c r="H179" s="362"/>
      <c r="I179" s="362"/>
      <c r="J179" s="353"/>
      <c r="K179" s="353"/>
      <c r="L179" s="353"/>
      <c r="M179" s="354"/>
    </row>
    <row r="180" spans="1:13">
      <c r="A180" s="324"/>
      <c r="B180" s="358"/>
      <c r="C180" s="6" t="s">
        <v>101</v>
      </c>
      <c r="D180" s="359"/>
      <c r="E180" s="364">
        <v>1E-3</v>
      </c>
      <c r="F180" s="365">
        <f>E180*F170</f>
        <v>24223.599790570319</v>
      </c>
      <c r="G180" s="366"/>
      <c r="H180" s="1119"/>
      <c r="I180" s="1119"/>
      <c r="J180" s="1120">
        <f>J170*E180</f>
        <v>6776.7346788530103</v>
      </c>
      <c r="K180" s="1120"/>
      <c r="L180" s="1115">
        <f t="shared" si="6"/>
        <v>6776.7346788530103</v>
      </c>
      <c r="M180" s="1116"/>
    </row>
    <row r="181" spans="1:13">
      <c r="A181" s="324"/>
      <c r="B181" s="358"/>
      <c r="C181" s="367" t="s">
        <v>104</v>
      </c>
      <c r="D181" s="368"/>
      <c r="E181" s="150">
        <f>E180+E178+E177+E176+E174+E173+1.8%</f>
        <v>0.21400000000000002</v>
      </c>
      <c r="F181" s="149">
        <f>F173+F174+F175+F176+F177+F178+F180+F179</f>
        <v>5668322.3509934554</v>
      </c>
      <c r="G181" s="369"/>
      <c r="H181" s="1121"/>
      <c r="I181" s="1121"/>
      <c r="L181" s="1122"/>
      <c r="M181" s="1123"/>
    </row>
    <row r="182" spans="1:13">
      <c r="A182" s="324"/>
      <c r="B182" s="358"/>
      <c r="C182" s="6"/>
      <c r="D182" s="359"/>
      <c r="E182" s="347"/>
      <c r="F182" s="371"/>
      <c r="G182" s="372"/>
      <c r="H182" s="373"/>
      <c r="I182" s="374"/>
      <c r="J182" s="375"/>
      <c r="K182" s="324"/>
      <c r="L182" s="376"/>
      <c r="M182" s="355"/>
    </row>
    <row r="183" spans="1:13">
      <c r="A183" s="324"/>
      <c r="B183" s="358"/>
      <c r="C183" s="9" t="s">
        <v>271</v>
      </c>
      <c r="D183" s="368"/>
      <c r="E183" s="377"/>
      <c r="F183" s="378">
        <f>F170+F181</f>
        <v>29891922.141563773</v>
      </c>
      <c r="G183" s="369"/>
      <c r="H183" s="1124"/>
      <c r="I183" s="1124"/>
      <c r="J183" s="1125">
        <f>SUM(J173:K180)</f>
        <v>1450221.2212745443</v>
      </c>
      <c r="K183" s="1125"/>
      <c r="L183" s="1126">
        <v>29891922.140000001</v>
      </c>
      <c r="M183" s="1127"/>
    </row>
    <row r="184" spans="1:13">
      <c r="A184" s="324"/>
      <c r="B184" s="358"/>
      <c r="C184" s="324"/>
      <c r="D184" s="368"/>
      <c r="E184" s="377"/>
      <c r="F184" s="378"/>
      <c r="G184" s="369"/>
      <c r="H184" s="370"/>
      <c r="I184" s="324"/>
      <c r="J184" s="379"/>
      <c r="K184" s="324"/>
      <c r="L184" s="369"/>
      <c r="M184" s="355"/>
    </row>
    <row r="185" spans="1:13" ht="24" customHeight="1">
      <c r="A185" s="324"/>
      <c r="B185" s="358"/>
      <c r="C185" s="1087" t="s">
        <v>272</v>
      </c>
      <c r="D185" s="1087"/>
      <c r="E185" s="380"/>
      <c r="F185" s="371"/>
      <c r="G185" s="376"/>
      <c r="H185" s="376"/>
      <c r="I185" s="374"/>
      <c r="J185" s="1100">
        <f>J170+J183</f>
        <v>8226955.9001275543</v>
      </c>
      <c r="K185" s="1100"/>
      <c r="L185" s="381">
        <f>J185/L183</f>
        <v>0.27522338180851269</v>
      </c>
      <c r="M185" s="382"/>
    </row>
    <row r="186" spans="1:13">
      <c r="A186" s="324"/>
      <c r="B186" s="358"/>
      <c r="C186" s="6"/>
      <c r="D186" s="383"/>
      <c r="E186" s="380"/>
      <c r="F186" s="384"/>
      <c r="G186" s="376"/>
      <c r="H186" s="376"/>
      <c r="I186" s="374"/>
      <c r="J186" s="373"/>
      <c r="K186" s="324"/>
      <c r="L186" s="381"/>
      <c r="M186" s="382"/>
    </row>
    <row r="187" spans="1:13">
      <c r="A187" s="324"/>
      <c r="B187" s="338"/>
      <c r="C187" s="385" t="s">
        <v>106</v>
      </c>
      <c r="D187" s="319"/>
      <c r="E187" s="320"/>
      <c r="F187" s="320"/>
      <c r="G187" s="205"/>
      <c r="H187" s="205"/>
      <c r="I187" s="205"/>
      <c r="J187" s="205"/>
      <c r="K187" s="324"/>
      <c r="L187" s="205"/>
      <c r="M187" s="345"/>
    </row>
    <row r="188" spans="1:13">
      <c r="A188" s="324"/>
      <c r="B188" s="338"/>
      <c r="C188" s="318" t="s">
        <v>11</v>
      </c>
      <c r="D188" s="319"/>
      <c r="E188" s="347"/>
      <c r="F188" s="320"/>
      <c r="G188" s="205"/>
      <c r="H188" s="1113"/>
      <c r="I188" s="1113"/>
      <c r="J188" s="1117"/>
      <c r="K188" s="1117"/>
      <c r="L188" s="1113"/>
      <c r="M188" s="1118"/>
    </row>
    <row r="189" spans="1:13">
      <c r="A189" s="324"/>
      <c r="B189" s="338"/>
      <c r="C189" s="6"/>
      <c r="D189" s="319"/>
      <c r="E189" s="347"/>
      <c r="F189" s="320"/>
      <c r="G189" s="205"/>
      <c r="H189" s="1113"/>
      <c r="I189" s="1113"/>
      <c r="J189" s="1113"/>
      <c r="K189" s="1113"/>
      <c r="L189" s="1113"/>
      <c r="M189" s="1118"/>
    </row>
    <row r="190" spans="1:13">
      <c r="A190" s="324"/>
      <c r="B190" s="338"/>
      <c r="C190" s="9" t="s">
        <v>107</v>
      </c>
      <c r="D190" s="383"/>
      <c r="E190" s="363">
        <v>0.2</v>
      </c>
      <c r="F190" s="380"/>
      <c r="G190" s="386"/>
      <c r="H190" s="1113"/>
      <c r="I190" s="1113"/>
      <c r="J190" s="1128">
        <f>J185*E190</f>
        <v>1645391.180025511</v>
      </c>
      <c r="K190" s="1128"/>
      <c r="L190" s="1113">
        <f>H190+J190</f>
        <v>1645391.180025511</v>
      </c>
      <c r="M190" s="1118"/>
    </row>
    <row r="191" spans="1:13">
      <c r="A191" s="324"/>
      <c r="B191" s="338"/>
      <c r="C191" s="9"/>
      <c r="D191" s="383"/>
      <c r="E191" s="380"/>
      <c r="F191" s="380"/>
      <c r="G191" s="386"/>
      <c r="H191" s="1129"/>
      <c r="I191" s="1129"/>
      <c r="J191" s="1130"/>
      <c r="K191" s="1130"/>
      <c r="L191" s="1131"/>
      <c r="M191" s="1132"/>
    </row>
    <row r="192" spans="1:13">
      <c r="A192" s="324"/>
      <c r="B192" s="338"/>
      <c r="C192" s="388" t="s">
        <v>108</v>
      </c>
      <c r="D192" s="383"/>
      <c r="E192" s="380"/>
      <c r="F192" s="380"/>
      <c r="G192" s="386"/>
      <c r="H192" s="389"/>
      <c r="I192" s="324"/>
      <c r="J192" s="1098">
        <f>J185-J190</f>
        <v>6581564.7201020438</v>
      </c>
      <c r="K192" s="1098"/>
      <c r="L192" s="1128">
        <f>H192+J192</f>
        <v>6581564.7201020438</v>
      </c>
      <c r="M192" s="1135"/>
    </row>
    <row r="193" spans="1:13">
      <c r="A193" s="324"/>
      <c r="B193" s="338"/>
      <c r="C193" s="6"/>
      <c r="D193" s="383"/>
      <c r="E193" s="380"/>
      <c r="F193" s="380"/>
      <c r="G193" s="386"/>
      <c r="H193" s="386"/>
      <c r="I193" s="374"/>
      <c r="J193" s="205"/>
      <c r="K193" s="390"/>
      <c r="L193" s="386"/>
      <c r="M193" s="337"/>
    </row>
    <row r="194" spans="1:13">
      <c r="A194" s="324"/>
      <c r="B194" s="350"/>
      <c r="C194" s="1110" t="s">
        <v>109</v>
      </c>
      <c r="D194" s="1110"/>
      <c r="E194" s="347"/>
      <c r="F194" s="347"/>
      <c r="G194" s="1110" t="s">
        <v>110</v>
      </c>
      <c r="H194" s="1110"/>
      <c r="I194" s="1110"/>
      <c r="J194" s="1110" t="s">
        <v>111</v>
      </c>
      <c r="K194" s="1110"/>
      <c r="L194" s="1110"/>
      <c r="M194" s="349"/>
    </row>
    <row r="195" spans="1:13">
      <c r="A195" s="324"/>
      <c r="B195" s="350"/>
      <c r="C195" s="348"/>
      <c r="D195" s="359"/>
      <c r="E195" s="347"/>
      <c r="F195" s="347"/>
      <c r="G195" s="348"/>
      <c r="H195" s="348"/>
      <c r="I195" s="348"/>
      <c r="J195" s="348"/>
      <c r="K195" s="348"/>
      <c r="L195" s="348"/>
      <c r="M195" s="349"/>
    </row>
    <row r="196" spans="1:13">
      <c r="A196" s="324"/>
      <c r="B196" s="350"/>
      <c r="C196" s="348"/>
      <c r="D196" s="359"/>
      <c r="E196" s="347"/>
      <c r="F196" s="347"/>
      <c r="G196" s="348"/>
      <c r="H196" s="348"/>
      <c r="I196" s="348"/>
      <c r="J196" s="348"/>
      <c r="K196" s="348"/>
      <c r="L196" s="348"/>
      <c r="M196" s="349"/>
    </row>
    <row r="197" spans="1:13" ht="29.25" customHeight="1">
      <c r="A197" s="324"/>
      <c r="B197" s="350"/>
      <c r="C197" s="1110" t="s">
        <v>112</v>
      </c>
      <c r="D197" s="1110"/>
      <c r="E197" s="347"/>
      <c r="F197" s="347"/>
      <c r="G197" s="1110" t="s">
        <v>113</v>
      </c>
      <c r="H197" s="1110"/>
      <c r="I197" s="1110"/>
      <c r="J197" s="1136" t="s">
        <v>273</v>
      </c>
      <c r="K197" s="1136"/>
      <c r="L197" s="1136"/>
      <c r="M197" s="391"/>
    </row>
    <row r="198" spans="1:13" ht="32.25" customHeight="1" thickBot="1">
      <c r="A198" s="324"/>
      <c r="B198" s="392"/>
      <c r="C198" s="1133" t="s">
        <v>115</v>
      </c>
      <c r="D198" s="1133"/>
      <c r="E198" s="393"/>
      <c r="F198" s="393"/>
      <c r="G198" s="1133" t="s">
        <v>116</v>
      </c>
      <c r="H198" s="1133"/>
      <c r="I198" s="1133"/>
      <c r="J198" s="1134" t="s">
        <v>274</v>
      </c>
      <c r="K198" s="1134"/>
      <c r="L198" s="1134"/>
      <c r="M198" s="394"/>
    </row>
  </sheetData>
  <mergeCells count="69">
    <mergeCell ref="C198:D198"/>
    <mergeCell ref="G198:I198"/>
    <mergeCell ref="J198:L198"/>
    <mergeCell ref="J192:K192"/>
    <mergeCell ref="L192:M192"/>
    <mergeCell ref="C194:D194"/>
    <mergeCell ref="G194:I194"/>
    <mergeCell ref="J194:L194"/>
    <mergeCell ref="C197:D197"/>
    <mergeCell ref="G197:I197"/>
    <mergeCell ref="J197:L197"/>
    <mergeCell ref="H190:I190"/>
    <mergeCell ref="J190:K190"/>
    <mergeCell ref="L190:M190"/>
    <mergeCell ref="H191:I191"/>
    <mergeCell ref="J191:K191"/>
    <mergeCell ref="L191:M191"/>
    <mergeCell ref="C185:D185"/>
    <mergeCell ref="J185:K185"/>
    <mergeCell ref="H188:I188"/>
    <mergeCell ref="J188:K188"/>
    <mergeCell ref="L188:M188"/>
    <mergeCell ref="H189:I189"/>
    <mergeCell ref="J189:K189"/>
    <mergeCell ref="L189:M189"/>
    <mergeCell ref="H180:I180"/>
    <mergeCell ref="J180:K180"/>
    <mergeCell ref="L180:M180"/>
    <mergeCell ref="H181:I181"/>
    <mergeCell ref="L181:M181"/>
    <mergeCell ref="H183:I183"/>
    <mergeCell ref="J183:K183"/>
    <mergeCell ref="L183:M183"/>
    <mergeCell ref="H177:I177"/>
    <mergeCell ref="J177:K177"/>
    <mergeCell ref="L177:M177"/>
    <mergeCell ref="H178:I178"/>
    <mergeCell ref="J178:K178"/>
    <mergeCell ref="L178:M178"/>
    <mergeCell ref="H175:I175"/>
    <mergeCell ref="J175:K175"/>
    <mergeCell ref="L175:M175"/>
    <mergeCell ref="H176:I176"/>
    <mergeCell ref="J176:K176"/>
    <mergeCell ref="L176:M176"/>
    <mergeCell ref="H173:I173"/>
    <mergeCell ref="J173:K173"/>
    <mergeCell ref="L173:M173"/>
    <mergeCell ref="H174:I174"/>
    <mergeCell ref="J174:K174"/>
    <mergeCell ref="L174:M174"/>
    <mergeCell ref="J169:K169"/>
    <mergeCell ref="L169:M169"/>
    <mergeCell ref="B170:E170"/>
    <mergeCell ref="H170:I170"/>
    <mergeCell ref="J170:K170"/>
    <mergeCell ref="L170:M170"/>
    <mergeCell ref="H169:I169"/>
    <mergeCell ref="F162:H162"/>
    <mergeCell ref="D164:F164"/>
    <mergeCell ref="B166:C166"/>
    <mergeCell ref="D166:E166"/>
    <mergeCell ref="D167:E167"/>
    <mergeCell ref="E161:K161"/>
    <mergeCell ref="A1:M1"/>
    <mergeCell ref="A2:M2"/>
    <mergeCell ref="A9:F9"/>
    <mergeCell ref="G9:J9"/>
    <mergeCell ref="K9:M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535A-20D7-4B75-B576-D6B180FBD1FC}">
  <sheetPr codeName="Hoja4"/>
  <dimension ref="A1:M147"/>
  <sheetViews>
    <sheetView topLeftCell="A110" workbookViewId="0">
      <selection activeCell="E144" sqref="E144"/>
    </sheetView>
  </sheetViews>
  <sheetFormatPr baseColWidth="10" defaultRowHeight="15"/>
  <cols>
    <col min="2" max="2" width="40.42578125" customWidth="1"/>
    <col min="3" max="3" width="26.140625" customWidth="1"/>
    <col min="4" max="4" width="13" customWidth="1"/>
    <col min="5" max="5" width="12.28515625" customWidth="1"/>
    <col min="6" max="6" width="16.5703125" customWidth="1"/>
    <col min="12" max="12" width="12.7109375" bestFit="1" customWidth="1"/>
    <col min="13" max="13" width="15.42578125" customWidth="1"/>
  </cols>
  <sheetData>
    <row r="1" spans="1:13">
      <c r="A1" s="1075" t="s">
        <v>0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7"/>
    </row>
    <row r="2" spans="1:13">
      <c r="A2" s="1078" t="s">
        <v>1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80"/>
    </row>
    <row r="3" spans="1:13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2</v>
      </c>
    </row>
    <row r="4" spans="1:13">
      <c r="A4" s="4"/>
      <c r="B4" s="5" t="s">
        <v>3</v>
      </c>
      <c r="C4" s="1081" t="s">
        <v>275</v>
      </c>
      <c r="D4" s="1081"/>
      <c r="E4" s="1081"/>
      <c r="F4" s="1081"/>
      <c r="G4" s="1081"/>
      <c r="H4" s="1081"/>
      <c r="I4" s="1081"/>
      <c r="J4" s="7"/>
      <c r="K4" s="7"/>
      <c r="L4" s="5" t="s">
        <v>5</v>
      </c>
      <c r="M4" s="8" t="s">
        <v>276</v>
      </c>
    </row>
    <row r="5" spans="1:13">
      <c r="A5" s="4"/>
      <c r="B5" s="5" t="s">
        <v>7</v>
      </c>
      <c r="C5" s="9">
        <v>1</v>
      </c>
      <c r="D5" s="7"/>
      <c r="E5" s="10"/>
      <c r="F5" s="10"/>
      <c r="G5" s="10"/>
      <c r="H5" s="7"/>
      <c r="I5" s="7"/>
      <c r="J5" s="7"/>
      <c r="K5" s="7"/>
      <c r="L5" s="5" t="s">
        <v>8</v>
      </c>
      <c r="M5" s="8">
        <v>3298159.3539999998</v>
      </c>
    </row>
    <row r="6" spans="1:13">
      <c r="A6" s="4"/>
      <c r="B6" s="5" t="s">
        <v>9</v>
      </c>
      <c r="C6" s="10" t="s">
        <v>277</v>
      </c>
      <c r="D6" s="10"/>
      <c r="E6" s="10"/>
      <c r="F6" s="10" t="s">
        <v>11</v>
      </c>
      <c r="G6" s="11"/>
      <c r="H6" s="7"/>
      <c r="I6" s="7"/>
      <c r="J6" s="7"/>
      <c r="K6" s="7"/>
      <c r="L6" s="5" t="s">
        <v>12</v>
      </c>
      <c r="M6" s="12" t="s">
        <v>278</v>
      </c>
    </row>
    <row r="7" spans="1:13">
      <c r="A7" s="4"/>
      <c r="B7" s="5" t="s">
        <v>14</v>
      </c>
      <c r="C7" s="10" t="s">
        <v>279</v>
      </c>
      <c r="D7" s="10"/>
      <c r="E7" s="10"/>
      <c r="F7" s="10"/>
      <c r="H7" s="7"/>
      <c r="I7" s="7"/>
      <c r="J7" s="7"/>
      <c r="K7" s="7"/>
      <c r="L7" s="7"/>
      <c r="M7" s="13"/>
    </row>
    <row r="8" spans="1:13">
      <c r="A8" s="1082" t="s">
        <v>16</v>
      </c>
      <c r="B8" s="1082"/>
      <c r="C8" s="1082"/>
      <c r="D8" s="1082"/>
      <c r="E8" s="1082"/>
      <c r="F8" s="1082"/>
      <c r="G8" s="1083" t="s">
        <v>17</v>
      </c>
      <c r="H8" s="1083"/>
      <c r="I8" s="1083"/>
      <c r="J8" s="1083"/>
      <c r="K8" s="1084" t="s">
        <v>18</v>
      </c>
      <c r="L8" s="1084"/>
      <c r="M8" s="1084"/>
    </row>
    <row r="9" spans="1:13">
      <c r="A9" s="14" t="s">
        <v>19</v>
      </c>
      <c r="B9" s="15" t="s">
        <v>20</v>
      </c>
      <c r="C9" s="15" t="s">
        <v>21</v>
      </c>
      <c r="D9" s="15" t="s">
        <v>22</v>
      </c>
      <c r="E9" s="16" t="s">
        <v>23</v>
      </c>
      <c r="F9" s="16" t="s">
        <v>24</v>
      </c>
      <c r="G9" s="17" t="s">
        <v>25</v>
      </c>
      <c r="H9" s="17" t="s">
        <v>26</v>
      </c>
      <c r="I9" s="18" t="s">
        <v>27</v>
      </c>
      <c r="J9" s="19" t="s">
        <v>28</v>
      </c>
      <c r="K9" s="20" t="s">
        <v>25</v>
      </c>
      <c r="L9" s="21" t="s">
        <v>26</v>
      </c>
      <c r="M9" s="21" t="s">
        <v>27</v>
      </c>
    </row>
    <row r="10" spans="1:13">
      <c r="A10" s="22" t="s">
        <v>29</v>
      </c>
      <c r="B10" s="23" t="s">
        <v>36</v>
      </c>
      <c r="C10" s="24"/>
      <c r="D10" s="25"/>
      <c r="E10" s="26"/>
      <c r="F10" s="26"/>
      <c r="G10" s="27"/>
      <c r="H10" s="27"/>
      <c r="I10" s="28"/>
      <c r="J10" s="396"/>
      <c r="K10" s="30"/>
      <c r="L10" s="31"/>
      <c r="M10" s="31"/>
    </row>
    <row r="11" spans="1:13">
      <c r="A11" s="32">
        <v>1</v>
      </c>
      <c r="B11" s="33" t="s">
        <v>280</v>
      </c>
      <c r="C11" s="34" t="s">
        <v>32</v>
      </c>
      <c r="D11" s="397">
        <v>1</v>
      </c>
      <c r="E11" s="36">
        <v>119638.67</v>
      </c>
      <c r="F11" s="398">
        <f>D11*E11</f>
        <v>119638.67</v>
      </c>
      <c r="G11" s="27"/>
      <c r="H11" s="27"/>
      <c r="I11" s="38"/>
      <c r="J11" s="399"/>
      <c r="K11" s="40"/>
      <c r="L11" s="41"/>
      <c r="M11" s="31"/>
    </row>
    <row r="12" spans="1:13">
      <c r="A12" s="32">
        <v>1.02</v>
      </c>
      <c r="B12" s="33" t="s">
        <v>281</v>
      </c>
      <c r="C12" s="34" t="s">
        <v>55</v>
      </c>
      <c r="D12" s="35">
        <v>1</v>
      </c>
      <c r="E12" s="36">
        <v>99756</v>
      </c>
      <c r="F12" s="398">
        <f t="shared" ref="F12:F76" si="0">D12*E12</f>
        <v>99756</v>
      </c>
      <c r="G12" s="27"/>
      <c r="H12" s="27">
        <v>1</v>
      </c>
      <c r="I12" s="38">
        <f t="shared" ref="I12:I13" si="1">G12+H12</f>
        <v>1</v>
      </c>
      <c r="J12" s="399">
        <f t="shared" ref="J12:J13" si="2">I12/D12*100</f>
        <v>100</v>
      </c>
      <c r="K12" s="44"/>
      <c r="L12" s="41">
        <f>E12*H12</f>
        <v>99756</v>
      </c>
      <c r="M12" s="31">
        <f>K12+L12</f>
        <v>99756</v>
      </c>
    </row>
    <row r="13" spans="1:13" ht="24.75">
      <c r="A13" s="32">
        <v>1.03</v>
      </c>
      <c r="B13" s="33" t="s">
        <v>282</v>
      </c>
      <c r="C13" s="34" t="s">
        <v>55</v>
      </c>
      <c r="D13" s="35">
        <v>1</v>
      </c>
      <c r="E13" s="36">
        <v>15096</v>
      </c>
      <c r="F13" s="398">
        <f t="shared" si="0"/>
        <v>15096</v>
      </c>
      <c r="G13" s="27"/>
      <c r="H13" s="27">
        <v>1</v>
      </c>
      <c r="I13" s="38">
        <f t="shared" si="1"/>
        <v>1</v>
      </c>
      <c r="J13" s="399">
        <f t="shared" si="2"/>
        <v>100</v>
      </c>
      <c r="K13" s="47"/>
      <c r="L13" s="41">
        <f>E13*H13</f>
        <v>15096</v>
      </c>
      <c r="M13" s="31">
        <f>K13+L13</f>
        <v>15096</v>
      </c>
    </row>
    <row r="14" spans="1:13" ht="24.75">
      <c r="A14" s="32">
        <v>1.04</v>
      </c>
      <c r="B14" s="33" t="s">
        <v>283</v>
      </c>
      <c r="C14" s="34" t="s">
        <v>55</v>
      </c>
      <c r="D14" s="35">
        <v>1</v>
      </c>
      <c r="E14" s="36">
        <v>35700</v>
      </c>
      <c r="F14" s="398">
        <f t="shared" si="0"/>
        <v>35700</v>
      </c>
      <c r="G14" s="27"/>
      <c r="H14" s="27"/>
      <c r="I14" s="38"/>
      <c r="J14" s="399"/>
      <c r="K14" s="47"/>
      <c r="L14" s="41"/>
      <c r="M14" s="31"/>
    </row>
    <row r="15" spans="1:13">
      <c r="A15" s="32"/>
      <c r="B15" s="42" t="s">
        <v>284</v>
      </c>
      <c r="C15" s="50"/>
      <c r="D15" s="51"/>
      <c r="E15" s="52"/>
      <c r="F15" s="400">
        <f>SUM(F11:F14)</f>
        <v>270190.67</v>
      </c>
      <c r="G15" s="27"/>
      <c r="H15" s="27"/>
      <c r="I15" s="38"/>
      <c r="J15" s="399"/>
      <c r="K15" s="49"/>
      <c r="L15" s="63">
        <f>SUM(L11:L14)</f>
        <v>114852</v>
      </c>
      <c r="M15" s="64">
        <f>K15+L15</f>
        <v>114852</v>
      </c>
    </row>
    <row r="16" spans="1:13">
      <c r="A16" s="46">
        <v>2</v>
      </c>
      <c r="B16" s="42" t="s">
        <v>285</v>
      </c>
      <c r="C16" s="34"/>
      <c r="D16" s="35"/>
      <c r="E16" s="48"/>
      <c r="F16" s="398"/>
      <c r="G16" s="27"/>
      <c r="H16" s="27"/>
      <c r="I16" s="38"/>
      <c r="J16" s="399"/>
      <c r="K16" s="44"/>
      <c r="L16" s="41"/>
      <c r="M16" s="31"/>
    </row>
    <row r="17" spans="1:13">
      <c r="A17" s="32">
        <v>2.0099999999999998</v>
      </c>
      <c r="B17" s="33" t="s">
        <v>44</v>
      </c>
      <c r="C17" s="34" t="s">
        <v>45</v>
      </c>
      <c r="D17" s="35">
        <v>16.25</v>
      </c>
      <c r="E17" s="401">
        <f>10873.51/D17</f>
        <v>669.13907692307691</v>
      </c>
      <c r="F17" s="398">
        <f t="shared" si="0"/>
        <v>10873.51</v>
      </c>
      <c r="G17" s="27"/>
      <c r="H17" s="27"/>
      <c r="I17" s="38"/>
      <c r="J17" s="399"/>
      <c r="K17" s="44"/>
      <c r="L17" s="41"/>
      <c r="M17" s="64"/>
    </row>
    <row r="18" spans="1:13">
      <c r="A18" s="32">
        <v>2.02</v>
      </c>
      <c r="B18" s="33" t="s">
        <v>47</v>
      </c>
      <c r="C18" s="34" t="s">
        <v>45</v>
      </c>
      <c r="D18" s="35">
        <v>21.13</v>
      </c>
      <c r="E18" s="48">
        <v>478</v>
      </c>
      <c r="F18" s="398">
        <f t="shared" si="0"/>
        <v>10100.14</v>
      </c>
      <c r="G18" s="27"/>
      <c r="H18" s="27"/>
      <c r="I18" s="38"/>
      <c r="J18" s="399"/>
      <c r="K18" s="44"/>
      <c r="L18" s="41"/>
      <c r="M18" s="31"/>
    </row>
    <row r="19" spans="1:13" ht="48.75">
      <c r="A19" s="53">
        <v>2.0299999999999998</v>
      </c>
      <c r="B19" s="33" t="s">
        <v>286</v>
      </c>
      <c r="C19" s="34" t="s">
        <v>52</v>
      </c>
      <c r="D19" s="35">
        <v>1</v>
      </c>
      <c r="E19" s="48">
        <v>179431.83</v>
      </c>
      <c r="F19" s="398">
        <f t="shared" si="0"/>
        <v>179431.83</v>
      </c>
      <c r="G19" s="27"/>
      <c r="H19" s="27"/>
      <c r="I19" s="38"/>
      <c r="J19" s="399"/>
      <c r="K19" s="44"/>
      <c r="L19" s="41"/>
      <c r="M19" s="31"/>
    </row>
    <row r="20" spans="1:13">
      <c r="A20" s="32">
        <v>2.04</v>
      </c>
      <c r="B20" s="33" t="s">
        <v>287</v>
      </c>
      <c r="C20" s="34" t="s">
        <v>288</v>
      </c>
      <c r="D20" s="35">
        <v>12</v>
      </c>
      <c r="E20" s="48">
        <v>5250</v>
      </c>
      <c r="F20" s="398">
        <f t="shared" si="0"/>
        <v>63000</v>
      </c>
      <c r="G20" s="27"/>
      <c r="H20" s="27"/>
      <c r="I20" s="38"/>
      <c r="J20" s="399"/>
      <c r="K20" s="44"/>
      <c r="L20" s="41"/>
      <c r="M20" s="31"/>
    </row>
    <row r="21" spans="1:13" ht="24.75">
      <c r="A21" s="32">
        <v>2.0499999999999998</v>
      </c>
      <c r="B21" s="33" t="s">
        <v>289</v>
      </c>
      <c r="C21" s="34" t="s">
        <v>55</v>
      </c>
      <c r="D21" s="35">
        <v>1</v>
      </c>
      <c r="E21" s="48">
        <v>122400</v>
      </c>
      <c r="F21" s="398">
        <f t="shared" si="0"/>
        <v>122400</v>
      </c>
      <c r="G21" s="27"/>
      <c r="H21" s="27"/>
      <c r="I21" s="38"/>
      <c r="J21" s="399"/>
      <c r="K21" s="54"/>
      <c r="L21" s="41"/>
      <c r="M21" s="31"/>
    </row>
    <row r="22" spans="1:13">
      <c r="A22" s="32">
        <v>2.06</v>
      </c>
      <c r="B22" s="55" t="s">
        <v>290</v>
      </c>
      <c r="C22" s="34" t="s">
        <v>38</v>
      </c>
      <c r="D22" s="35">
        <v>20</v>
      </c>
      <c r="E22" s="48">
        <f>83410.27/D22</f>
        <v>4170.5135</v>
      </c>
      <c r="F22" s="398">
        <f t="shared" si="0"/>
        <v>83410.27</v>
      </c>
      <c r="G22" s="27"/>
      <c r="H22" s="27"/>
      <c r="I22" s="38"/>
      <c r="J22" s="399"/>
      <c r="K22" s="30"/>
      <c r="L22" s="41"/>
      <c r="M22" s="31"/>
    </row>
    <row r="23" spans="1:13" ht="24.75">
      <c r="A23" s="53">
        <v>2.0699999999999998</v>
      </c>
      <c r="B23" s="33" t="s">
        <v>291</v>
      </c>
      <c r="C23" s="57" t="s">
        <v>32</v>
      </c>
      <c r="D23" s="35">
        <v>1</v>
      </c>
      <c r="E23" s="48">
        <v>15453</v>
      </c>
      <c r="F23" s="398">
        <f t="shared" si="0"/>
        <v>15453</v>
      </c>
      <c r="G23" s="27"/>
      <c r="H23" s="27"/>
      <c r="I23" s="38"/>
      <c r="J23" s="399"/>
      <c r="K23" s="30"/>
      <c r="L23" s="41"/>
      <c r="M23" s="31"/>
    </row>
    <row r="24" spans="1:13">
      <c r="A24" s="32">
        <v>2.08</v>
      </c>
      <c r="B24" s="58" t="s">
        <v>292</v>
      </c>
      <c r="C24" s="34" t="s">
        <v>55</v>
      </c>
      <c r="D24" s="35">
        <v>1</v>
      </c>
      <c r="E24" s="48">
        <v>153000</v>
      </c>
      <c r="F24" s="398">
        <f t="shared" si="0"/>
        <v>153000</v>
      </c>
      <c r="G24" s="27"/>
      <c r="H24" s="27"/>
      <c r="I24" s="38"/>
      <c r="J24" s="399"/>
      <c r="K24" s="40"/>
      <c r="L24" s="41"/>
      <c r="M24" s="31"/>
    </row>
    <row r="25" spans="1:13" ht="24.75">
      <c r="A25" s="32">
        <v>2.09</v>
      </c>
      <c r="B25" s="58" t="s">
        <v>293</v>
      </c>
      <c r="C25" s="34" t="s">
        <v>32</v>
      </c>
      <c r="D25" s="35">
        <v>1</v>
      </c>
      <c r="E25" s="48">
        <f>291120.24/D25</f>
        <v>291120.24</v>
      </c>
      <c r="F25" s="398">
        <f t="shared" si="0"/>
        <v>291120.24</v>
      </c>
      <c r="G25" s="27"/>
      <c r="H25" s="27"/>
      <c r="I25" s="38"/>
      <c r="J25" s="399"/>
      <c r="K25" s="40"/>
      <c r="L25" s="41"/>
      <c r="M25" s="31"/>
    </row>
    <row r="26" spans="1:13" ht="24.75">
      <c r="A26" s="32">
        <v>2.1</v>
      </c>
      <c r="B26" s="58" t="s">
        <v>294</v>
      </c>
      <c r="C26" s="34" t="s">
        <v>32</v>
      </c>
      <c r="D26" s="35">
        <v>1</v>
      </c>
      <c r="E26" s="48">
        <v>126990</v>
      </c>
      <c r="F26" s="398">
        <f t="shared" si="0"/>
        <v>126990</v>
      </c>
      <c r="G26" s="27"/>
      <c r="H26" s="27"/>
      <c r="I26" s="38"/>
      <c r="J26" s="399"/>
      <c r="K26" s="40"/>
      <c r="L26" s="63"/>
      <c r="M26" s="64"/>
    </row>
    <row r="27" spans="1:13" ht="24.75">
      <c r="A27" s="32">
        <v>2.11</v>
      </c>
      <c r="B27" s="69" t="s">
        <v>295</v>
      </c>
      <c r="C27" s="66" t="s">
        <v>32</v>
      </c>
      <c r="D27" s="67">
        <v>1</v>
      </c>
      <c r="E27" s="68">
        <v>38225</v>
      </c>
      <c r="F27" s="398">
        <f t="shared" si="0"/>
        <v>38225</v>
      </c>
      <c r="G27" s="27"/>
      <c r="H27" s="27"/>
      <c r="I27" s="38"/>
      <c r="J27" s="399"/>
      <c r="K27" s="40"/>
      <c r="L27" s="41"/>
      <c r="M27" s="31"/>
    </row>
    <row r="28" spans="1:13">
      <c r="A28" s="32"/>
      <c r="B28" s="65" t="s">
        <v>296</v>
      </c>
      <c r="C28" s="213"/>
      <c r="D28" s="402"/>
      <c r="E28" s="403"/>
      <c r="F28" s="400">
        <f>SUM(F17:F27)</f>
        <v>1094003.99</v>
      </c>
      <c r="G28" s="27"/>
      <c r="H28" s="27"/>
      <c r="I28" s="38"/>
      <c r="J28" s="399"/>
      <c r="K28" s="40"/>
      <c r="L28" s="41"/>
      <c r="M28" s="31"/>
    </row>
    <row r="29" spans="1:13" ht="24.75">
      <c r="A29" s="46">
        <v>3</v>
      </c>
      <c r="B29" s="59" t="s">
        <v>297</v>
      </c>
      <c r="C29" s="50"/>
      <c r="D29" s="51"/>
      <c r="E29" s="52"/>
      <c r="F29" s="398"/>
      <c r="G29" s="27"/>
      <c r="H29" s="27"/>
      <c r="I29" s="38"/>
      <c r="J29" s="399"/>
      <c r="K29" s="40"/>
      <c r="L29" s="41"/>
      <c r="M29" s="31"/>
    </row>
    <row r="30" spans="1:13">
      <c r="A30" s="32">
        <v>3.01</v>
      </c>
      <c r="B30" s="58" t="s">
        <v>298</v>
      </c>
      <c r="C30" s="34" t="s">
        <v>45</v>
      </c>
      <c r="D30" s="35">
        <v>2.2999999999999998</v>
      </c>
      <c r="E30" s="48">
        <v>707.56956000000002</v>
      </c>
      <c r="F30" s="178">
        <f t="shared" si="0"/>
        <v>1627.4099879999999</v>
      </c>
      <c r="G30" s="27"/>
      <c r="H30" s="27"/>
      <c r="I30" s="38"/>
      <c r="J30" s="399"/>
      <c r="K30" s="40"/>
      <c r="L30" s="41"/>
      <c r="M30" s="31"/>
    </row>
    <row r="31" spans="1:13">
      <c r="A31" s="32">
        <v>3.02</v>
      </c>
      <c r="B31" s="58" t="s">
        <v>299</v>
      </c>
      <c r="C31" s="34" t="s">
        <v>45</v>
      </c>
      <c r="D31" s="26">
        <v>0.89</v>
      </c>
      <c r="E31" s="48">
        <v>913</v>
      </c>
      <c r="F31" s="398">
        <f t="shared" si="0"/>
        <v>812.57</v>
      </c>
      <c r="G31" s="27"/>
      <c r="H31" s="27"/>
      <c r="I31" s="38"/>
      <c r="J31" s="399"/>
      <c r="K31" s="40"/>
      <c r="L31" s="41"/>
      <c r="M31" s="31"/>
    </row>
    <row r="32" spans="1:13" ht="24.75">
      <c r="A32" s="32">
        <v>3.03</v>
      </c>
      <c r="B32" s="58" t="s">
        <v>300</v>
      </c>
      <c r="C32" s="34" t="s">
        <v>45</v>
      </c>
      <c r="D32" s="26">
        <v>0.96</v>
      </c>
      <c r="E32" s="48">
        <v>13218.72</v>
      </c>
      <c r="F32" s="178">
        <f t="shared" si="0"/>
        <v>12689.971199999998</v>
      </c>
      <c r="G32" s="27"/>
      <c r="H32" s="27"/>
      <c r="I32" s="38"/>
      <c r="J32" s="399"/>
      <c r="K32" s="40"/>
      <c r="L32" s="41"/>
      <c r="M32" s="31"/>
    </row>
    <row r="33" spans="1:13" ht="24.75">
      <c r="A33" s="32">
        <v>3.04</v>
      </c>
      <c r="B33" s="33" t="s">
        <v>301</v>
      </c>
      <c r="C33" s="34" t="s">
        <v>222</v>
      </c>
      <c r="D33" s="26">
        <v>16</v>
      </c>
      <c r="E33" s="48">
        <f>119107.8/D33</f>
        <v>7444.2375000000002</v>
      </c>
      <c r="F33" s="398">
        <f t="shared" si="0"/>
        <v>119107.8</v>
      </c>
      <c r="G33" s="27"/>
      <c r="H33" s="27"/>
      <c r="I33" s="38"/>
      <c r="J33" s="399"/>
      <c r="K33" s="71"/>
      <c r="L33" s="72"/>
      <c r="M33" s="45"/>
    </row>
    <row r="34" spans="1:13" ht="24.75">
      <c r="A34" s="32">
        <v>3.05</v>
      </c>
      <c r="B34" s="33" t="s">
        <v>302</v>
      </c>
      <c r="C34" s="34" t="s">
        <v>45</v>
      </c>
      <c r="D34" s="26">
        <v>2.2400000000000002</v>
      </c>
      <c r="E34" s="48">
        <f>40308.19/D34</f>
        <v>17994.727678571428</v>
      </c>
      <c r="F34" s="398">
        <f t="shared" si="0"/>
        <v>40308.19</v>
      </c>
      <c r="G34" s="27"/>
      <c r="H34" s="27"/>
      <c r="I34" s="38"/>
      <c r="J34" s="399"/>
      <c r="K34" s="40"/>
      <c r="L34" s="41"/>
      <c r="M34" s="31"/>
    </row>
    <row r="35" spans="1:13">
      <c r="A35" s="32">
        <v>3.06</v>
      </c>
      <c r="B35" s="33" t="s">
        <v>303</v>
      </c>
      <c r="C35" s="34" t="s">
        <v>222</v>
      </c>
      <c r="D35" s="26">
        <v>54.4</v>
      </c>
      <c r="E35" s="48">
        <f>30848.84/D35</f>
        <v>567.07426470588234</v>
      </c>
      <c r="F35" s="398">
        <f t="shared" si="0"/>
        <v>30848.84</v>
      </c>
      <c r="G35" s="27"/>
      <c r="H35" s="27"/>
      <c r="I35" s="38"/>
      <c r="J35" s="399"/>
      <c r="K35" s="40"/>
      <c r="L35" s="41"/>
      <c r="M35" s="31"/>
    </row>
    <row r="36" spans="1:13">
      <c r="A36" s="32">
        <v>3.07</v>
      </c>
      <c r="B36" s="33" t="s">
        <v>304</v>
      </c>
      <c r="C36" s="34" t="s">
        <v>222</v>
      </c>
      <c r="D36" s="26">
        <v>54.4</v>
      </c>
      <c r="E36" s="397">
        <f>11787.04/D36</f>
        <v>216.67352941176472</v>
      </c>
      <c r="F36" s="398">
        <f t="shared" si="0"/>
        <v>11787.04</v>
      </c>
      <c r="G36" s="27"/>
      <c r="H36" s="27"/>
      <c r="I36" s="38"/>
      <c r="J36" s="399"/>
      <c r="K36" s="40"/>
      <c r="L36" s="41"/>
      <c r="M36" s="31"/>
    </row>
    <row r="37" spans="1:13">
      <c r="A37" s="73">
        <v>3.08</v>
      </c>
      <c r="B37" s="33" t="s">
        <v>305</v>
      </c>
      <c r="C37" s="34" t="s">
        <v>55</v>
      </c>
      <c r="D37" s="57">
        <v>1</v>
      </c>
      <c r="E37" s="36">
        <v>52020</v>
      </c>
      <c r="F37" s="398">
        <f t="shared" si="0"/>
        <v>52020</v>
      </c>
      <c r="G37" s="27"/>
      <c r="H37" s="27"/>
      <c r="I37" s="74"/>
      <c r="J37" s="404"/>
      <c r="K37" s="72"/>
      <c r="L37" s="41"/>
      <c r="M37" s="76"/>
    </row>
    <row r="38" spans="1:13" ht="24.75">
      <c r="A38" s="73">
        <v>3.09</v>
      </c>
      <c r="B38" s="58" t="s">
        <v>306</v>
      </c>
      <c r="C38" s="77" t="s">
        <v>55</v>
      </c>
      <c r="D38" s="78">
        <v>1</v>
      </c>
      <c r="E38" s="79">
        <v>13428.68</v>
      </c>
      <c r="F38" s="398">
        <f t="shared" si="0"/>
        <v>13428.68</v>
      </c>
      <c r="G38" s="27"/>
      <c r="H38" s="27"/>
      <c r="I38" s="74"/>
      <c r="J38" s="404"/>
      <c r="K38" s="72"/>
      <c r="L38" s="41"/>
      <c r="M38" s="31"/>
    </row>
    <row r="39" spans="1:13" ht="48.75">
      <c r="A39" s="73">
        <v>3.1</v>
      </c>
      <c r="B39" s="58" t="s">
        <v>307</v>
      </c>
      <c r="C39" s="77" t="s">
        <v>222</v>
      </c>
      <c r="D39" s="78">
        <v>1.44</v>
      </c>
      <c r="E39" s="80">
        <f>4667.39/D39</f>
        <v>3241.2430555555561</v>
      </c>
      <c r="F39" s="398">
        <f t="shared" si="0"/>
        <v>4667.3900000000003</v>
      </c>
      <c r="G39" s="27"/>
      <c r="H39" s="27"/>
      <c r="I39" s="38"/>
      <c r="J39" s="399"/>
      <c r="K39" s="40"/>
      <c r="L39" s="41"/>
      <c r="M39" s="31"/>
    </row>
    <row r="40" spans="1:13" ht="36.75">
      <c r="A40" s="73">
        <v>3.11</v>
      </c>
      <c r="B40" s="58" t="s">
        <v>308</v>
      </c>
      <c r="C40" s="77" t="s">
        <v>55</v>
      </c>
      <c r="D40" s="78">
        <v>1</v>
      </c>
      <c r="E40" s="80">
        <v>7317.64</v>
      </c>
      <c r="F40" s="398">
        <f t="shared" si="0"/>
        <v>7317.64</v>
      </c>
      <c r="G40" s="27"/>
      <c r="H40" s="27"/>
      <c r="I40" s="38"/>
      <c r="J40" s="399"/>
      <c r="K40" s="40"/>
      <c r="L40" s="41"/>
      <c r="M40" s="31"/>
    </row>
    <row r="41" spans="1:13">
      <c r="A41" s="73"/>
      <c r="B41" s="59" t="s">
        <v>309</v>
      </c>
      <c r="C41" s="81"/>
      <c r="D41" s="82"/>
      <c r="E41" s="83"/>
      <c r="F41" s="400">
        <f>SUM(F30:F40)</f>
        <v>294615.53118800005</v>
      </c>
      <c r="G41" s="27"/>
      <c r="H41" s="27"/>
      <c r="I41" s="38"/>
      <c r="J41" s="399"/>
      <c r="K41" s="40"/>
      <c r="L41" s="41"/>
      <c r="M41" s="31"/>
    </row>
    <row r="42" spans="1:13">
      <c r="A42" s="84">
        <v>4</v>
      </c>
      <c r="B42" s="59" t="s">
        <v>310</v>
      </c>
      <c r="C42" s="57"/>
      <c r="D42" s="26"/>
      <c r="E42" s="36"/>
      <c r="F42" s="398"/>
      <c r="G42" s="38"/>
      <c r="H42" s="38"/>
      <c r="I42" s="38"/>
      <c r="J42" s="399"/>
      <c r="K42" s="40"/>
      <c r="L42" s="41"/>
      <c r="M42" s="31"/>
    </row>
    <row r="43" spans="1:13">
      <c r="A43" s="85">
        <v>4.01</v>
      </c>
      <c r="B43" s="58" t="s">
        <v>44</v>
      </c>
      <c r="C43" s="34" t="s">
        <v>45</v>
      </c>
      <c r="D43" s="26">
        <v>67.86</v>
      </c>
      <c r="E43" s="48">
        <f>45407.77/D43</f>
        <v>669.13896256999703</v>
      </c>
      <c r="F43" s="398">
        <f t="shared" si="0"/>
        <v>45407.77</v>
      </c>
      <c r="G43" s="38"/>
      <c r="H43" s="38"/>
      <c r="I43" s="38"/>
      <c r="J43" s="399"/>
      <c r="K43" s="40"/>
      <c r="L43" s="41"/>
      <c r="M43" s="31"/>
    </row>
    <row r="44" spans="1:13" ht="24.75">
      <c r="A44" s="85">
        <v>4.0199999999999996</v>
      </c>
      <c r="B44" s="58" t="s">
        <v>311</v>
      </c>
      <c r="C44" s="34" t="s">
        <v>55</v>
      </c>
      <c r="D44" s="26">
        <v>1</v>
      </c>
      <c r="E44" s="48">
        <v>36720</v>
      </c>
      <c r="F44" s="398">
        <f t="shared" si="0"/>
        <v>36720</v>
      </c>
      <c r="G44" s="38"/>
      <c r="H44" s="38"/>
      <c r="I44" s="38"/>
      <c r="J44" s="399"/>
      <c r="K44" s="40"/>
      <c r="L44" s="41"/>
      <c r="M44" s="31"/>
    </row>
    <row r="45" spans="1:13">
      <c r="A45" s="85">
        <v>4.03</v>
      </c>
      <c r="B45" s="58" t="s">
        <v>312</v>
      </c>
      <c r="C45" s="34" t="s">
        <v>55</v>
      </c>
      <c r="D45" s="26">
        <v>1</v>
      </c>
      <c r="E45" s="48">
        <v>5202</v>
      </c>
      <c r="F45" s="398">
        <f t="shared" si="0"/>
        <v>5202</v>
      </c>
      <c r="G45" s="38"/>
      <c r="H45" s="38"/>
      <c r="I45" s="38"/>
      <c r="J45" s="399"/>
      <c r="K45" s="40"/>
      <c r="L45" s="41"/>
      <c r="M45" s="31"/>
    </row>
    <row r="46" spans="1:13" ht="24">
      <c r="A46" s="73">
        <v>4.04</v>
      </c>
      <c r="B46" s="86" t="s">
        <v>313</v>
      </c>
      <c r="C46" s="34" t="s">
        <v>45</v>
      </c>
      <c r="D46" s="57">
        <v>62.5</v>
      </c>
      <c r="E46" s="36">
        <v>9240</v>
      </c>
      <c r="F46" s="398">
        <f t="shared" si="0"/>
        <v>577500</v>
      </c>
      <c r="G46" s="27"/>
      <c r="H46" s="38"/>
      <c r="I46" s="74"/>
      <c r="J46" s="404"/>
      <c r="K46" s="72"/>
      <c r="L46" s="87"/>
      <c r="M46" s="45"/>
    </row>
    <row r="47" spans="1:13">
      <c r="A47" s="73">
        <v>4.05</v>
      </c>
      <c r="B47" s="58" t="s">
        <v>314</v>
      </c>
      <c r="C47" s="77" t="s">
        <v>315</v>
      </c>
      <c r="D47" s="78">
        <v>116.25</v>
      </c>
      <c r="E47" s="79">
        <v>4235</v>
      </c>
      <c r="F47" s="398">
        <f t="shared" si="0"/>
        <v>492318.75</v>
      </c>
      <c r="G47" s="27"/>
      <c r="H47" s="38"/>
      <c r="I47" s="74"/>
      <c r="J47" s="404"/>
      <c r="K47" s="72"/>
      <c r="L47" s="88"/>
      <c r="M47" s="31"/>
    </row>
    <row r="48" spans="1:13">
      <c r="A48" s="73">
        <v>4.0599999999999996</v>
      </c>
      <c r="B48" s="58" t="s">
        <v>316</v>
      </c>
      <c r="C48" s="77" t="s">
        <v>317</v>
      </c>
      <c r="D48" s="78">
        <v>132.53</v>
      </c>
      <c r="E48" s="80">
        <v>105</v>
      </c>
      <c r="F48" s="398">
        <f t="shared" si="0"/>
        <v>13915.65</v>
      </c>
      <c r="G48" s="27"/>
      <c r="H48" s="38"/>
      <c r="I48" s="74"/>
      <c r="J48" s="404"/>
      <c r="K48" s="72"/>
      <c r="L48" s="88"/>
      <c r="M48" s="31"/>
    </row>
    <row r="49" spans="1:13">
      <c r="A49" s="73">
        <v>4.07</v>
      </c>
      <c r="B49" s="58" t="s">
        <v>318</v>
      </c>
      <c r="C49" s="77" t="s">
        <v>55</v>
      </c>
      <c r="D49" s="78">
        <v>1</v>
      </c>
      <c r="E49" s="80">
        <v>10800</v>
      </c>
      <c r="F49" s="398">
        <f t="shared" si="0"/>
        <v>10800</v>
      </c>
      <c r="G49" s="27"/>
      <c r="H49" s="38"/>
      <c r="I49" s="74"/>
      <c r="J49" s="404"/>
      <c r="K49" s="72"/>
      <c r="L49" s="88"/>
      <c r="M49" s="31"/>
    </row>
    <row r="50" spans="1:13">
      <c r="A50" s="73">
        <v>4.08</v>
      </c>
      <c r="B50" s="58" t="s">
        <v>319</v>
      </c>
      <c r="C50" s="77" t="s">
        <v>38</v>
      </c>
      <c r="D50" s="89">
        <v>24</v>
      </c>
      <c r="E50" s="90">
        <v>22569.75</v>
      </c>
      <c r="F50" s="398">
        <f t="shared" si="0"/>
        <v>541674</v>
      </c>
      <c r="G50" s="27"/>
      <c r="H50" s="38"/>
      <c r="I50" s="74"/>
      <c r="J50" s="404"/>
      <c r="K50" s="72"/>
      <c r="L50" s="88"/>
      <c r="M50" s="31"/>
    </row>
    <row r="51" spans="1:13">
      <c r="A51" s="73">
        <v>4.09</v>
      </c>
      <c r="B51" s="58" t="s">
        <v>320</v>
      </c>
      <c r="C51" s="77" t="s">
        <v>55</v>
      </c>
      <c r="D51" s="89">
        <v>1</v>
      </c>
      <c r="E51" s="90">
        <v>30000</v>
      </c>
      <c r="F51" s="398">
        <f t="shared" si="0"/>
        <v>30000</v>
      </c>
      <c r="G51" s="27"/>
      <c r="H51" s="38"/>
      <c r="I51" s="74"/>
      <c r="J51" s="404"/>
      <c r="K51" s="72"/>
      <c r="L51" s="88"/>
      <c r="M51" s="31"/>
    </row>
    <row r="52" spans="1:13">
      <c r="A52" s="85">
        <v>4.0999999999999996</v>
      </c>
      <c r="B52" s="58" t="s">
        <v>321</v>
      </c>
      <c r="C52" s="34" t="s">
        <v>45</v>
      </c>
      <c r="D52" s="26">
        <v>30</v>
      </c>
      <c r="E52" s="48">
        <f>96377.3/D52</f>
        <v>3212.5766666666668</v>
      </c>
      <c r="F52" s="398">
        <f t="shared" si="0"/>
        <v>96377.3</v>
      </c>
      <c r="G52" s="27"/>
      <c r="H52" s="38"/>
      <c r="I52" s="74"/>
      <c r="J52" s="404"/>
      <c r="K52" s="72"/>
      <c r="L52" s="88"/>
      <c r="M52" s="31"/>
    </row>
    <row r="53" spans="1:13">
      <c r="A53" s="85">
        <v>4.1100000000000003</v>
      </c>
      <c r="B53" s="58" t="s">
        <v>322</v>
      </c>
      <c r="C53" s="34" t="s">
        <v>55</v>
      </c>
      <c r="D53" s="26">
        <v>1</v>
      </c>
      <c r="E53" s="48">
        <v>54113</v>
      </c>
      <c r="F53" s="398">
        <f t="shared" si="0"/>
        <v>54113</v>
      </c>
      <c r="G53" s="27"/>
      <c r="H53" s="38"/>
      <c r="I53" s="74"/>
      <c r="J53" s="404"/>
      <c r="K53" s="72"/>
      <c r="L53" s="88"/>
      <c r="M53" s="31"/>
    </row>
    <row r="54" spans="1:13">
      <c r="A54" s="85">
        <v>4.12</v>
      </c>
      <c r="B54" s="58" t="s">
        <v>323</v>
      </c>
      <c r="C54" s="34" t="s">
        <v>55</v>
      </c>
      <c r="D54" s="26">
        <v>1</v>
      </c>
      <c r="E54" s="48">
        <v>51314.06</v>
      </c>
      <c r="F54" s="398">
        <f t="shared" si="0"/>
        <v>51314.06</v>
      </c>
      <c r="G54" s="27"/>
      <c r="H54" s="38"/>
      <c r="I54" s="74"/>
      <c r="J54" s="404"/>
      <c r="K54" s="72"/>
      <c r="L54" s="88"/>
      <c r="M54" s="31"/>
    </row>
    <row r="55" spans="1:13" ht="24">
      <c r="A55" s="73">
        <v>4.13</v>
      </c>
      <c r="B55" s="86" t="s">
        <v>324</v>
      </c>
      <c r="C55" s="34" t="s">
        <v>32</v>
      </c>
      <c r="D55" s="57">
        <v>1</v>
      </c>
      <c r="E55" s="36">
        <v>41225</v>
      </c>
      <c r="F55" s="398">
        <f t="shared" si="0"/>
        <v>41225</v>
      </c>
      <c r="G55" s="27"/>
      <c r="H55" s="38"/>
      <c r="I55" s="74"/>
      <c r="J55" s="404"/>
      <c r="K55" s="72"/>
      <c r="L55" s="88"/>
      <c r="M55" s="31"/>
    </row>
    <row r="56" spans="1:13" ht="24.75">
      <c r="A56" s="73">
        <v>4.1399999999999997</v>
      </c>
      <c r="B56" s="58" t="s">
        <v>325</v>
      </c>
      <c r="C56" s="77" t="s">
        <v>52</v>
      </c>
      <c r="D56" s="78">
        <v>1</v>
      </c>
      <c r="E56" s="79">
        <v>51298</v>
      </c>
      <c r="F56" s="398">
        <f t="shared" si="0"/>
        <v>51298</v>
      </c>
      <c r="G56" s="27"/>
      <c r="H56" s="38"/>
      <c r="I56" s="74"/>
      <c r="J56" s="404"/>
      <c r="K56" s="72"/>
      <c r="L56" s="88"/>
      <c r="M56" s="31"/>
    </row>
    <row r="57" spans="1:13">
      <c r="A57" s="73">
        <v>4.1500000000000004</v>
      </c>
      <c r="B57" s="58" t="s">
        <v>326</v>
      </c>
      <c r="C57" s="77" t="s">
        <v>52</v>
      </c>
      <c r="D57" s="78">
        <v>1</v>
      </c>
      <c r="E57" s="80">
        <v>9333</v>
      </c>
      <c r="F57" s="398">
        <f t="shared" si="0"/>
        <v>9333</v>
      </c>
      <c r="G57" s="27"/>
      <c r="H57" s="38"/>
      <c r="I57" s="74"/>
      <c r="J57" s="404"/>
      <c r="K57" s="72"/>
      <c r="L57" s="88"/>
      <c r="M57" s="31"/>
    </row>
    <row r="58" spans="1:13">
      <c r="A58" s="73"/>
      <c r="B58" s="59" t="s">
        <v>327</v>
      </c>
      <c r="C58" s="81"/>
      <c r="D58" s="405"/>
      <c r="E58" s="406"/>
      <c r="F58" s="400">
        <f>SUM(F43:F57)</f>
        <v>2057198.53</v>
      </c>
      <c r="G58" s="27"/>
      <c r="H58" s="38"/>
      <c r="I58" s="74"/>
      <c r="J58" s="404"/>
      <c r="K58" s="72"/>
      <c r="L58" s="88"/>
      <c r="M58" s="31"/>
    </row>
    <row r="59" spans="1:13">
      <c r="A59" s="84">
        <v>5</v>
      </c>
      <c r="B59" s="59" t="s">
        <v>328</v>
      </c>
      <c r="C59" s="77"/>
      <c r="D59" s="78"/>
      <c r="E59" s="80"/>
      <c r="F59" s="398"/>
      <c r="G59" s="27"/>
      <c r="H59" s="38"/>
      <c r="I59" s="74"/>
      <c r="J59" s="404"/>
      <c r="K59" s="72"/>
      <c r="L59" s="88"/>
      <c r="M59" s="31"/>
    </row>
    <row r="60" spans="1:13">
      <c r="A60" s="73">
        <v>5.01</v>
      </c>
      <c r="B60" s="58" t="s">
        <v>329</v>
      </c>
      <c r="C60" s="77" t="s">
        <v>330</v>
      </c>
      <c r="D60" s="78">
        <v>160</v>
      </c>
      <c r="E60" s="80">
        <v>1122</v>
      </c>
      <c r="F60" s="398">
        <f t="shared" si="0"/>
        <v>179520</v>
      </c>
      <c r="G60" s="27"/>
      <c r="H60" s="38"/>
      <c r="I60" s="74"/>
      <c r="J60" s="404"/>
      <c r="K60" s="72"/>
      <c r="L60" s="88"/>
      <c r="M60" s="31"/>
    </row>
    <row r="61" spans="1:13">
      <c r="A61" s="73">
        <v>5.0199999999999996</v>
      </c>
      <c r="B61" s="58" t="s">
        <v>331</v>
      </c>
      <c r="C61" s="77" t="s">
        <v>330</v>
      </c>
      <c r="D61" s="78">
        <v>160</v>
      </c>
      <c r="E61" s="80">
        <v>153</v>
      </c>
      <c r="F61" s="398">
        <f t="shared" si="0"/>
        <v>24480</v>
      </c>
      <c r="G61" s="27"/>
      <c r="H61" s="38"/>
      <c r="I61" s="74"/>
      <c r="J61" s="404"/>
      <c r="K61" s="72"/>
      <c r="L61" s="88"/>
      <c r="M61" s="31"/>
    </row>
    <row r="62" spans="1:13" ht="24.75">
      <c r="A62" s="73">
        <v>5.03</v>
      </c>
      <c r="B62" s="58" t="s">
        <v>332</v>
      </c>
      <c r="C62" s="77" t="s">
        <v>330</v>
      </c>
      <c r="D62" s="78">
        <v>120</v>
      </c>
      <c r="E62" s="80">
        <v>252</v>
      </c>
      <c r="F62" s="398">
        <f t="shared" si="0"/>
        <v>30240</v>
      </c>
      <c r="G62" s="27"/>
      <c r="H62" s="38"/>
      <c r="I62" s="74"/>
      <c r="J62" s="404"/>
      <c r="K62" s="72"/>
      <c r="L62" s="88"/>
      <c r="M62" s="31"/>
    </row>
    <row r="63" spans="1:13">
      <c r="A63" s="73">
        <v>5.04</v>
      </c>
      <c r="B63" s="58" t="s">
        <v>333</v>
      </c>
      <c r="C63" s="77" t="s">
        <v>32</v>
      </c>
      <c r="D63" s="78">
        <v>2</v>
      </c>
      <c r="E63" s="80">
        <v>3306.07</v>
      </c>
      <c r="F63" s="398">
        <f t="shared" si="0"/>
        <v>6612.14</v>
      </c>
      <c r="G63" s="27"/>
      <c r="H63" s="38"/>
      <c r="I63" s="74"/>
      <c r="J63" s="404"/>
      <c r="K63" s="72"/>
      <c r="L63" s="88"/>
      <c r="M63" s="31"/>
    </row>
    <row r="64" spans="1:13">
      <c r="A64" s="73">
        <v>5.05</v>
      </c>
      <c r="B64" s="58" t="s">
        <v>334</v>
      </c>
      <c r="C64" s="77" t="s">
        <v>32</v>
      </c>
      <c r="D64" s="78">
        <v>160</v>
      </c>
      <c r="E64" s="80">
        <v>57400</v>
      </c>
      <c r="F64" s="398">
        <f t="shared" si="0"/>
        <v>9184000</v>
      </c>
      <c r="G64" s="27"/>
      <c r="H64" s="38"/>
      <c r="I64" s="74"/>
      <c r="J64" s="404"/>
      <c r="K64" s="72"/>
      <c r="L64" s="88"/>
      <c r="M64" s="31"/>
    </row>
    <row r="65" spans="1:13">
      <c r="A65" s="73">
        <v>5.0599999999999996</v>
      </c>
      <c r="B65" s="58" t="s">
        <v>335</v>
      </c>
      <c r="C65" s="77" t="s">
        <v>32</v>
      </c>
      <c r="D65" s="78">
        <v>2</v>
      </c>
      <c r="E65" s="80">
        <v>5000</v>
      </c>
      <c r="F65" s="398">
        <f t="shared" si="0"/>
        <v>10000</v>
      </c>
      <c r="G65" s="27"/>
      <c r="H65" s="38"/>
      <c r="I65" s="74"/>
      <c r="J65" s="404"/>
      <c r="K65" s="72"/>
      <c r="L65" s="88"/>
      <c r="M65" s="31"/>
    </row>
    <row r="66" spans="1:13" ht="24.75">
      <c r="A66" s="73">
        <v>5.07</v>
      </c>
      <c r="B66" s="58" t="s">
        <v>336</v>
      </c>
      <c r="C66" s="77" t="s">
        <v>32</v>
      </c>
      <c r="D66" s="78">
        <v>2</v>
      </c>
      <c r="E66" s="80">
        <v>10000</v>
      </c>
      <c r="F66" s="398">
        <f t="shared" si="0"/>
        <v>20000</v>
      </c>
      <c r="G66" s="27"/>
      <c r="H66" s="38"/>
      <c r="I66" s="74"/>
      <c r="J66" s="404"/>
      <c r="K66" s="72"/>
      <c r="L66" s="88"/>
      <c r="M66" s="31"/>
    </row>
    <row r="67" spans="1:13" ht="24.75">
      <c r="A67" s="73">
        <v>5.08</v>
      </c>
      <c r="B67" s="58" t="s">
        <v>337</v>
      </c>
      <c r="C67" s="77" t="s">
        <v>55</v>
      </c>
      <c r="D67" s="78">
        <v>2</v>
      </c>
      <c r="E67" s="80">
        <v>15000</v>
      </c>
      <c r="F67" s="398">
        <f t="shared" si="0"/>
        <v>30000</v>
      </c>
      <c r="G67" s="27"/>
      <c r="H67" s="38"/>
      <c r="I67" s="74"/>
      <c r="J67" s="404"/>
      <c r="K67" s="72"/>
      <c r="L67" s="88"/>
      <c r="M67" s="31"/>
    </row>
    <row r="68" spans="1:13" ht="24.75">
      <c r="A68" s="73">
        <v>5.09</v>
      </c>
      <c r="B68" s="58" t="s">
        <v>338</v>
      </c>
      <c r="C68" s="77" t="s">
        <v>32</v>
      </c>
      <c r="D68" s="78">
        <v>2</v>
      </c>
      <c r="E68" s="80">
        <v>1500</v>
      </c>
      <c r="F68" s="398">
        <f t="shared" si="0"/>
        <v>3000</v>
      </c>
      <c r="G68" s="27"/>
      <c r="H68" s="38"/>
      <c r="I68" s="74"/>
      <c r="J68" s="404"/>
      <c r="K68" s="72"/>
      <c r="L68" s="88"/>
      <c r="M68" s="31"/>
    </row>
    <row r="69" spans="1:13">
      <c r="A69" s="73"/>
      <c r="B69" s="59" t="s">
        <v>339</v>
      </c>
      <c r="C69" s="81"/>
      <c r="D69" s="405"/>
      <c r="E69" s="406"/>
      <c r="F69" s="400">
        <f>SUM(F60:F68)</f>
        <v>9487852.1400000006</v>
      </c>
      <c r="G69" s="27"/>
      <c r="H69" s="38"/>
      <c r="I69" s="74"/>
      <c r="J69" s="404"/>
      <c r="K69" s="72"/>
      <c r="L69" s="88"/>
      <c r="M69" s="31"/>
    </row>
    <row r="70" spans="1:13" ht="24.75">
      <c r="A70" s="84">
        <v>6</v>
      </c>
      <c r="B70" s="59" t="s">
        <v>340</v>
      </c>
      <c r="C70" s="77"/>
      <c r="D70" s="78"/>
      <c r="E70" s="80"/>
      <c r="F70" s="398"/>
      <c r="G70" s="27"/>
      <c r="H70" s="38"/>
      <c r="I70" s="74"/>
      <c r="J70" s="404"/>
      <c r="K70" s="72"/>
      <c r="L70" s="88"/>
      <c r="M70" s="31"/>
    </row>
    <row r="71" spans="1:13">
      <c r="A71" s="73">
        <v>6.01</v>
      </c>
      <c r="B71" s="58" t="s">
        <v>341</v>
      </c>
      <c r="C71" s="77" t="s">
        <v>55</v>
      </c>
      <c r="D71" s="78">
        <v>1</v>
      </c>
      <c r="E71" s="80">
        <v>30600</v>
      </c>
      <c r="F71" s="398">
        <f t="shared" si="0"/>
        <v>30600</v>
      </c>
      <c r="G71" s="27"/>
      <c r="H71" s="38">
        <v>1</v>
      </c>
      <c r="I71" s="74">
        <f>G71+H71</f>
        <v>1</v>
      </c>
      <c r="J71" s="404">
        <f>H71/D71*100</f>
        <v>100</v>
      </c>
      <c r="K71" s="72"/>
      <c r="L71" s="87">
        <f>H71*E71</f>
        <v>30600</v>
      </c>
      <c r="M71" s="87">
        <f>K71+L71</f>
        <v>30600</v>
      </c>
    </row>
    <row r="72" spans="1:13">
      <c r="A72" s="73">
        <v>6.02</v>
      </c>
      <c r="B72" s="58" t="s">
        <v>342</v>
      </c>
      <c r="C72" s="77" t="s">
        <v>55</v>
      </c>
      <c r="D72" s="78">
        <v>1</v>
      </c>
      <c r="E72" s="80">
        <v>76500</v>
      </c>
      <c r="F72" s="398">
        <f t="shared" si="0"/>
        <v>76500</v>
      </c>
      <c r="G72" s="27"/>
      <c r="H72" s="38">
        <v>1</v>
      </c>
      <c r="I72" s="74">
        <f t="shared" ref="I72:I73" si="3">G72+H72</f>
        <v>1</v>
      </c>
      <c r="J72" s="404">
        <f t="shared" ref="J72:J73" si="4">H72/D72*100</f>
        <v>100</v>
      </c>
      <c r="K72" s="72"/>
      <c r="L72" s="87">
        <f t="shared" ref="L72:L73" si="5">H72*E72</f>
        <v>76500</v>
      </c>
      <c r="M72" s="87">
        <f t="shared" ref="M72:M73" si="6">K72+L72</f>
        <v>76500</v>
      </c>
    </row>
    <row r="73" spans="1:13" ht="24.75">
      <c r="A73" s="73">
        <v>6.03</v>
      </c>
      <c r="B73" s="58" t="s">
        <v>343</v>
      </c>
      <c r="C73" s="77" t="s">
        <v>55</v>
      </c>
      <c r="D73" s="78">
        <v>1</v>
      </c>
      <c r="E73" s="80">
        <v>30600</v>
      </c>
      <c r="F73" s="398">
        <f t="shared" si="0"/>
        <v>30600</v>
      </c>
      <c r="G73" s="27"/>
      <c r="H73" s="38">
        <v>1</v>
      </c>
      <c r="I73" s="74">
        <f t="shared" si="3"/>
        <v>1</v>
      </c>
      <c r="J73" s="404">
        <f t="shared" si="4"/>
        <v>100</v>
      </c>
      <c r="K73" s="72"/>
      <c r="L73" s="87">
        <f t="shared" si="5"/>
        <v>30600</v>
      </c>
      <c r="M73" s="87">
        <f t="shared" si="6"/>
        <v>30600</v>
      </c>
    </row>
    <row r="74" spans="1:13">
      <c r="A74" s="73"/>
      <c r="B74" s="59" t="s">
        <v>344</v>
      </c>
      <c r="C74" s="81"/>
      <c r="D74" s="405"/>
      <c r="E74" s="406"/>
      <c r="F74" s="400">
        <f>SUM(F71:F73)</f>
        <v>137700</v>
      </c>
      <c r="G74" s="27"/>
      <c r="H74" s="38"/>
      <c r="I74" s="74"/>
      <c r="J74" s="75"/>
      <c r="K74" s="72"/>
      <c r="L74" s="115">
        <f>SUM(L71:L73)</f>
        <v>137700</v>
      </c>
      <c r="M74" s="115">
        <f>K74+L74</f>
        <v>137700</v>
      </c>
    </row>
    <row r="75" spans="1:13">
      <c r="A75" s="84">
        <v>1</v>
      </c>
      <c r="B75" s="59" t="s">
        <v>345</v>
      </c>
      <c r="C75" s="77"/>
      <c r="D75" s="78"/>
      <c r="E75" s="80"/>
      <c r="F75" s="398"/>
      <c r="G75" s="27"/>
      <c r="H75" s="38"/>
      <c r="I75" s="74"/>
      <c r="J75" s="75"/>
      <c r="K75" s="72"/>
      <c r="L75" s="88"/>
      <c r="M75" s="31"/>
    </row>
    <row r="76" spans="1:13" ht="24.75">
      <c r="A76" s="73">
        <v>1.01</v>
      </c>
      <c r="B76" s="58" t="s">
        <v>346</v>
      </c>
      <c r="C76" s="77" t="s">
        <v>55</v>
      </c>
      <c r="D76" s="78">
        <v>1</v>
      </c>
      <c r="E76" s="80">
        <v>76500</v>
      </c>
      <c r="F76" s="398">
        <f t="shared" si="0"/>
        <v>76500</v>
      </c>
      <c r="G76" s="27"/>
      <c r="H76" s="38"/>
      <c r="I76" s="74"/>
      <c r="J76" s="75"/>
      <c r="K76" s="72"/>
      <c r="L76" s="88"/>
      <c r="M76" s="31"/>
    </row>
    <row r="77" spans="1:13">
      <c r="A77" s="73"/>
      <c r="B77" s="59" t="s">
        <v>66</v>
      </c>
      <c r="C77" s="77"/>
      <c r="D77" s="89"/>
      <c r="E77" s="90"/>
      <c r="F77" s="400">
        <f>F76</f>
        <v>76500</v>
      </c>
      <c r="G77" s="27"/>
      <c r="H77" s="38"/>
      <c r="I77" s="74"/>
      <c r="J77" s="75"/>
      <c r="K77" s="72"/>
      <c r="L77" s="88"/>
      <c r="M77" s="31"/>
    </row>
    <row r="78" spans="1:13">
      <c r="A78" s="7"/>
      <c r="B78" s="91" t="s">
        <v>73</v>
      </c>
      <c r="C78" s="7"/>
      <c r="D78" s="7"/>
      <c r="E78" s="92"/>
      <c r="F78" s="93">
        <f>F77+F74+F69+F58+F41+F28+F15-0.02</f>
        <v>13418060.841188001</v>
      </c>
      <c r="G78" s="7"/>
      <c r="H78" s="7"/>
      <c r="I78" s="7"/>
      <c r="J78" s="7"/>
      <c r="K78" s="94"/>
      <c r="L78" s="95"/>
      <c r="M78" s="96"/>
    </row>
    <row r="79" spans="1:13">
      <c r="A79" s="7"/>
      <c r="B79" s="91"/>
      <c r="C79" s="7"/>
      <c r="D79" s="7"/>
      <c r="E79" s="92"/>
      <c r="F79" s="93"/>
      <c r="G79" s="7"/>
      <c r="H79" s="7"/>
      <c r="I79" s="7"/>
      <c r="J79" s="7"/>
      <c r="K79" s="94"/>
      <c r="L79" s="95"/>
      <c r="M79" s="96"/>
    </row>
    <row r="80" spans="1:13">
      <c r="A80" s="116"/>
      <c r="B80" s="10" t="s">
        <v>347</v>
      </c>
      <c r="C80" s="7"/>
      <c r="D80" s="7"/>
      <c r="E80" s="98"/>
      <c r="F80" s="118"/>
      <c r="G80" s="119"/>
      <c r="H80" s="120"/>
      <c r="I80" s="121"/>
      <c r="J80" s="122"/>
      <c r="K80" s="123"/>
      <c r="L80" s="124"/>
      <c r="M80" s="125"/>
    </row>
    <row r="81" spans="1:13" ht="15" customHeight="1">
      <c r="A81" s="1137" t="s">
        <v>348</v>
      </c>
      <c r="B81" s="1137"/>
      <c r="C81" s="1137"/>
      <c r="D81" s="1137"/>
      <c r="E81" s="1137"/>
      <c r="F81" s="1137"/>
      <c r="G81" s="1138" t="s">
        <v>17</v>
      </c>
      <c r="H81" s="1138"/>
      <c r="I81" s="1138"/>
      <c r="J81" s="1138"/>
      <c r="K81" s="1139" t="s">
        <v>18</v>
      </c>
      <c r="L81" s="1139"/>
      <c r="M81" s="1139"/>
    </row>
    <row r="82" spans="1:13" ht="22.5">
      <c r="A82" s="407" t="s">
        <v>19</v>
      </c>
      <c r="B82" s="408" t="s">
        <v>20</v>
      </c>
      <c r="C82" s="408" t="s">
        <v>52</v>
      </c>
      <c r="D82" s="408" t="s">
        <v>90</v>
      </c>
      <c r="E82" s="408" t="s">
        <v>349</v>
      </c>
      <c r="F82" s="408" t="s">
        <v>24</v>
      </c>
      <c r="G82" s="409" t="s">
        <v>25</v>
      </c>
      <c r="H82" s="409" t="s">
        <v>26</v>
      </c>
      <c r="I82" s="409" t="s">
        <v>27</v>
      </c>
      <c r="J82" s="409" t="s">
        <v>28</v>
      </c>
      <c r="K82" s="410" t="s">
        <v>25</v>
      </c>
      <c r="L82" s="410" t="s">
        <v>26</v>
      </c>
      <c r="M82" s="410" t="s">
        <v>27</v>
      </c>
    </row>
    <row r="83" spans="1:13">
      <c r="A83" s="407" t="s">
        <v>350</v>
      </c>
      <c r="B83" s="408" t="s">
        <v>351</v>
      </c>
      <c r="C83" s="408"/>
      <c r="D83" s="408"/>
      <c r="E83" s="408"/>
      <c r="F83" s="408"/>
      <c r="G83" s="409"/>
      <c r="H83" s="409"/>
      <c r="I83" s="409"/>
      <c r="J83" s="409"/>
      <c r="K83" s="410"/>
      <c r="L83" s="410"/>
      <c r="M83" s="410"/>
    </row>
    <row r="84" spans="1:13">
      <c r="A84" s="177">
        <v>1.01</v>
      </c>
      <c r="B84" s="411" t="s">
        <v>47</v>
      </c>
      <c r="C84" s="73" t="s">
        <v>55</v>
      </c>
      <c r="D84" s="412">
        <v>1</v>
      </c>
      <c r="E84" s="186">
        <v>15000</v>
      </c>
      <c r="F84" s="186">
        <f>D84*E84</f>
        <v>15000</v>
      </c>
      <c r="G84" s="413"/>
      <c r="H84" s="413">
        <v>1</v>
      </c>
      <c r="I84" s="413">
        <f>G84+H84</f>
        <v>1</v>
      </c>
      <c r="J84" s="414">
        <f>I84/D84</f>
        <v>1</v>
      </c>
      <c r="K84" s="415"/>
      <c r="L84" s="415">
        <f>H84*E84</f>
        <v>15000</v>
      </c>
      <c r="M84" s="415">
        <f>K84+L84</f>
        <v>15000</v>
      </c>
    </row>
    <row r="85" spans="1:13">
      <c r="A85" s="177">
        <v>1.02</v>
      </c>
      <c r="B85" s="416" t="s">
        <v>352</v>
      </c>
      <c r="C85" s="73" t="s">
        <v>55</v>
      </c>
      <c r="D85" s="412">
        <v>1</v>
      </c>
      <c r="E85" s="186">
        <v>125000</v>
      </c>
      <c r="F85" s="186">
        <f t="shared" ref="F85:F97" si="7">D85*E85</f>
        <v>125000</v>
      </c>
      <c r="G85" s="413"/>
      <c r="H85" s="413">
        <v>1</v>
      </c>
      <c r="I85" s="413">
        <f t="shared" ref="I85" si="8">G85+H85</f>
        <v>1</v>
      </c>
      <c r="J85" s="414">
        <f t="shared" ref="J85:J90" si="9">I85/D85</f>
        <v>1</v>
      </c>
      <c r="K85" s="415"/>
      <c r="L85" s="415">
        <f>H85*E85</f>
        <v>125000</v>
      </c>
      <c r="M85" s="415">
        <f>K85+L85</f>
        <v>125000</v>
      </c>
    </row>
    <row r="86" spans="1:13" ht="24">
      <c r="A86" s="177">
        <v>1.03</v>
      </c>
      <c r="B86" s="55" t="s">
        <v>353</v>
      </c>
      <c r="C86" s="417" t="s">
        <v>38</v>
      </c>
      <c r="D86" s="412">
        <v>280</v>
      </c>
      <c r="E86" s="418">
        <v>1750</v>
      </c>
      <c r="F86" s="186">
        <f t="shared" si="7"/>
        <v>490000</v>
      </c>
      <c r="G86" s="413"/>
      <c r="H86" s="413">
        <v>1</v>
      </c>
      <c r="I86" s="413">
        <v>280</v>
      </c>
      <c r="J86" s="414">
        <f t="shared" si="9"/>
        <v>1</v>
      </c>
      <c r="K86" s="415"/>
      <c r="L86" s="415">
        <f>I86*E86</f>
        <v>490000</v>
      </c>
      <c r="M86" s="415">
        <f t="shared" ref="M86:M90" si="10">K86+L86</f>
        <v>490000</v>
      </c>
    </row>
    <row r="87" spans="1:13" ht="24">
      <c r="A87" s="177">
        <v>1.04</v>
      </c>
      <c r="B87" s="55" t="s">
        <v>354</v>
      </c>
      <c r="C87" s="417" t="s">
        <v>32</v>
      </c>
      <c r="D87" s="412">
        <v>16</v>
      </c>
      <c r="E87" s="418">
        <v>15000</v>
      </c>
      <c r="F87" s="186">
        <f t="shared" si="7"/>
        <v>240000</v>
      </c>
      <c r="G87" s="413"/>
      <c r="H87" s="413">
        <v>280</v>
      </c>
      <c r="I87" s="413">
        <v>16</v>
      </c>
      <c r="J87" s="414">
        <f t="shared" si="9"/>
        <v>1</v>
      </c>
      <c r="K87" s="419"/>
      <c r="L87" s="420">
        <f>I87*E87</f>
        <v>240000</v>
      </c>
      <c r="M87" s="415">
        <f t="shared" si="10"/>
        <v>240000</v>
      </c>
    </row>
    <row r="88" spans="1:13" ht="24.75">
      <c r="A88" s="177">
        <v>1.05</v>
      </c>
      <c r="B88" s="33" t="s">
        <v>355</v>
      </c>
      <c r="C88" s="417" t="s">
        <v>32</v>
      </c>
      <c r="D88" s="412">
        <v>10</v>
      </c>
      <c r="E88" s="421">
        <v>30000</v>
      </c>
      <c r="F88" s="186">
        <f t="shared" si="7"/>
        <v>300000</v>
      </c>
      <c r="G88" s="413"/>
      <c r="H88" s="413">
        <v>16</v>
      </c>
      <c r="I88" s="413">
        <v>10</v>
      </c>
      <c r="J88" s="414">
        <f t="shared" si="9"/>
        <v>1</v>
      </c>
      <c r="K88" s="415"/>
      <c r="L88" s="420">
        <f t="shared" ref="L88:L97" si="11">I88*E88</f>
        <v>300000</v>
      </c>
      <c r="M88" s="415">
        <f t="shared" si="10"/>
        <v>300000</v>
      </c>
    </row>
    <row r="89" spans="1:13" ht="24.75">
      <c r="A89" s="177">
        <v>1.06</v>
      </c>
      <c r="B89" s="58" t="s">
        <v>356</v>
      </c>
      <c r="C89" s="417" t="s">
        <v>32</v>
      </c>
      <c r="D89" s="412">
        <v>1</v>
      </c>
      <c r="E89" s="421">
        <v>90000</v>
      </c>
      <c r="F89" s="186">
        <f t="shared" si="7"/>
        <v>90000</v>
      </c>
      <c r="G89" s="413"/>
      <c r="H89" s="413">
        <v>10</v>
      </c>
      <c r="I89" s="413">
        <v>1</v>
      </c>
      <c r="J89" s="414">
        <f t="shared" si="9"/>
        <v>1</v>
      </c>
      <c r="K89" s="415"/>
      <c r="L89" s="420">
        <f t="shared" si="11"/>
        <v>90000</v>
      </c>
      <c r="M89" s="415">
        <f t="shared" si="10"/>
        <v>90000</v>
      </c>
    </row>
    <row r="90" spans="1:13" ht="24.75">
      <c r="A90" s="177">
        <v>1.07</v>
      </c>
      <c r="B90" s="33" t="s">
        <v>357</v>
      </c>
      <c r="C90" s="417" t="s">
        <v>32</v>
      </c>
      <c r="D90" s="412">
        <v>1</v>
      </c>
      <c r="E90" s="421">
        <v>90000</v>
      </c>
      <c r="F90" s="186">
        <f t="shared" si="7"/>
        <v>90000</v>
      </c>
      <c r="G90" s="413"/>
      <c r="H90" s="413">
        <v>1</v>
      </c>
      <c r="I90" s="413">
        <f>G90+H90</f>
        <v>1</v>
      </c>
      <c r="J90" s="414">
        <f t="shared" si="9"/>
        <v>1</v>
      </c>
      <c r="K90" s="415"/>
      <c r="L90" s="420">
        <f t="shared" si="11"/>
        <v>90000</v>
      </c>
      <c r="M90" s="415">
        <f t="shared" si="10"/>
        <v>90000</v>
      </c>
    </row>
    <row r="91" spans="1:13">
      <c r="A91" s="177">
        <v>1.08</v>
      </c>
      <c r="B91" s="58" t="s">
        <v>358</v>
      </c>
      <c r="C91" s="417" t="s">
        <v>32</v>
      </c>
      <c r="D91" s="412">
        <v>1</v>
      </c>
      <c r="E91" s="421">
        <v>10000</v>
      </c>
      <c r="F91" s="186">
        <f t="shared" si="7"/>
        <v>10000</v>
      </c>
      <c r="G91" s="413"/>
      <c r="H91" s="413">
        <v>1</v>
      </c>
      <c r="I91" s="413">
        <f>G91+H91</f>
        <v>1</v>
      </c>
      <c r="J91" s="414"/>
      <c r="K91" s="415"/>
      <c r="L91" s="420">
        <f t="shared" si="11"/>
        <v>10000</v>
      </c>
      <c r="M91" s="415"/>
    </row>
    <row r="92" spans="1:13">
      <c r="A92" s="85">
        <v>1.0900000000000001</v>
      </c>
      <c r="B92" s="58" t="s">
        <v>359</v>
      </c>
      <c r="C92" s="417" t="s">
        <v>32</v>
      </c>
      <c r="D92" s="412">
        <v>1</v>
      </c>
      <c r="E92" s="421">
        <v>6000</v>
      </c>
      <c r="F92" s="186">
        <f t="shared" si="7"/>
        <v>6000</v>
      </c>
      <c r="G92" s="413"/>
      <c r="H92" s="413">
        <v>1</v>
      </c>
      <c r="I92" s="413">
        <f t="shared" ref="I92:I97" si="12">G92+H92</f>
        <v>1</v>
      </c>
      <c r="J92" s="414">
        <f t="shared" ref="J92:J97" si="13">I92/D92</f>
        <v>1</v>
      </c>
      <c r="K92" s="415"/>
      <c r="L92" s="420">
        <f t="shared" si="11"/>
        <v>6000</v>
      </c>
      <c r="M92" s="415">
        <f t="shared" ref="M92" si="14">K92+L92</f>
        <v>6000</v>
      </c>
    </row>
    <row r="93" spans="1:13">
      <c r="A93" s="85">
        <v>1.1000000000000001</v>
      </c>
      <c r="B93" s="58" t="s">
        <v>360</v>
      </c>
      <c r="C93" s="417" t="s">
        <v>32</v>
      </c>
      <c r="D93" s="412">
        <v>1</v>
      </c>
      <c r="E93" s="421">
        <v>15000</v>
      </c>
      <c r="F93" s="186">
        <f t="shared" si="7"/>
        <v>15000</v>
      </c>
      <c r="G93" s="413"/>
      <c r="H93" s="413">
        <v>1</v>
      </c>
      <c r="I93" s="413">
        <f t="shared" si="12"/>
        <v>1</v>
      </c>
      <c r="J93" s="414">
        <f t="shared" si="13"/>
        <v>1</v>
      </c>
      <c r="K93" s="419"/>
      <c r="L93" s="420">
        <f t="shared" si="11"/>
        <v>15000</v>
      </c>
      <c r="M93" s="415">
        <f>SUM(M90:M92)</f>
        <v>96000</v>
      </c>
    </row>
    <row r="94" spans="1:13" ht="24.75">
      <c r="A94" s="85">
        <v>1.1100000000000001</v>
      </c>
      <c r="B94" s="58" t="s">
        <v>361</v>
      </c>
      <c r="C94" s="417" t="s">
        <v>32</v>
      </c>
      <c r="D94" s="412">
        <v>1</v>
      </c>
      <c r="E94" s="421">
        <v>90000</v>
      </c>
      <c r="F94" s="186">
        <f t="shared" si="7"/>
        <v>90000</v>
      </c>
      <c r="G94" s="413"/>
      <c r="H94" s="413">
        <v>1</v>
      </c>
      <c r="I94" s="413">
        <f t="shared" si="12"/>
        <v>1</v>
      </c>
      <c r="J94" s="414">
        <f t="shared" si="13"/>
        <v>1</v>
      </c>
      <c r="K94" s="415"/>
      <c r="L94" s="420">
        <f t="shared" si="11"/>
        <v>90000</v>
      </c>
      <c r="M94" s="415">
        <f t="shared" ref="M94:M95" si="15">SUM(M91:M93)</f>
        <v>102000</v>
      </c>
    </row>
    <row r="95" spans="1:13" ht="24.75">
      <c r="A95" s="85">
        <v>1.1200000000000001</v>
      </c>
      <c r="B95" s="58" t="s">
        <v>362</v>
      </c>
      <c r="C95" s="417" t="s">
        <v>32</v>
      </c>
      <c r="D95" s="412">
        <v>1</v>
      </c>
      <c r="E95" s="421">
        <v>30000</v>
      </c>
      <c r="F95" s="186">
        <f t="shared" si="7"/>
        <v>30000</v>
      </c>
      <c r="G95" s="413"/>
      <c r="H95" s="413">
        <v>1</v>
      </c>
      <c r="I95" s="413">
        <f t="shared" si="12"/>
        <v>1</v>
      </c>
      <c r="J95" s="414">
        <f t="shared" si="13"/>
        <v>1</v>
      </c>
      <c r="K95" s="415"/>
      <c r="L95" s="420">
        <f t="shared" si="11"/>
        <v>30000</v>
      </c>
      <c r="M95" s="415">
        <f t="shared" si="15"/>
        <v>204000</v>
      </c>
    </row>
    <row r="96" spans="1:13" ht="24.75">
      <c r="A96" s="85">
        <v>1.1299999999999999</v>
      </c>
      <c r="B96" s="58" t="s">
        <v>363</v>
      </c>
      <c r="C96" s="417" t="s">
        <v>32</v>
      </c>
      <c r="D96" s="412">
        <v>1</v>
      </c>
      <c r="E96" s="421">
        <v>45000</v>
      </c>
      <c r="F96" s="186">
        <f t="shared" si="7"/>
        <v>45000</v>
      </c>
      <c r="G96" s="413"/>
      <c r="H96" s="413">
        <v>1</v>
      </c>
      <c r="I96" s="413">
        <f t="shared" si="12"/>
        <v>1</v>
      </c>
      <c r="J96" s="414">
        <f t="shared" si="13"/>
        <v>1</v>
      </c>
      <c r="K96" s="415"/>
      <c r="L96" s="420">
        <f t="shared" si="11"/>
        <v>45000</v>
      </c>
      <c r="M96" s="415">
        <f t="shared" ref="M96:M102" si="16">K96+L96</f>
        <v>45000</v>
      </c>
    </row>
    <row r="97" spans="1:13" ht="24.75">
      <c r="A97" s="85">
        <v>1.1399999999999999</v>
      </c>
      <c r="B97" s="58" t="s">
        <v>364</v>
      </c>
      <c r="C97" s="417" t="s">
        <v>32</v>
      </c>
      <c r="D97" s="412">
        <v>1</v>
      </c>
      <c r="E97" s="421">
        <v>20000</v>
      </c>
      <c r="F97" s="186">
        <f t="shared" si="7"/>
        <v>20000</v>
      </c>
      <c r="G97" s="413"/>
      <c r="H97" s="413">
        <v>1</v>
      </c>
      <c r="I97" s="413">
        <f t="shared" si="12"/>
        <v>1</v>
      </c>
      <c r="J97" s="414">
        <f t="shared" si="13"/>
        <v>1</v>
      </c>
      <c r="K97" s="415"/>
      <c r="L97" s="420">
        <f t="shared" si="11"/>
        <v>20000</v>
      </c>
      <c r="M97" s="415">
        <f t="shared" si="16"/>
        <v>20000</v>
      </c>
    </row>
    <row r="98" spans="1:13">
      <c r="A98" s="85">
        <v>1.1499999999999999</v>
      </c>
      <c r="B98" s="42" t="s">
        <v>284</v>
      </c>
      <c r="C98" s="417"/>
      <c r="D98" s="412"/>
      <c r="E98" s="422"/>
      <c r="F98" s="423">
        <f>SUM(F84:F97)</f>
        <v>1566000</v>
      </c>
      <c r="G98" s="424"/>
      <c r="H98" s="424"/>
      <c r="I98" s="424"/>
      <c r="J98" s="425"/>
      <c r="K98" s="419"/>
      <c r="L98" s="419">
        <f>SUM(L84:L97)</f>
        <v>1566000</v>
      </c>
      <c r="M98" s="419">
        <f t="shared" si="16"/>
        <v>1566000</v>
      </c>
    </row>
    <row r="100" spans="1:13">
      <c r="B100" s="98" t="s">
        <v>365</v>
      </c>
      <c r="C100" s="116"/>
      <c r="D100" s="116"/>
      <c r="E100" s="116"/>
      <c r="F100" s="426">
        <f>F98</f>
        <v>1566000</v>
      </c>
      <c r="G100" s="116"/>
      <c r="H100" s="116"/>
      <c r="I100" s="116"/>
      <c r="J100" s="116"/>
      <c r="K100" s="116"/>
      <c r="L100" s="118">
        <f>L98</f>
        <v>1566000</v>
      </c>
      <c r="M100" s="427">
        <f t="shared" si="16"/>
        <v>1566000</v>
      </c>
    </row>
    <row r="101" spans="1:13">
      <c r="B101" s="98" t="s">
        <v>82</v>
      </c>
      <c r="C101" s="116"/>
      <c r="D101" s="116"/>
      <c r="E101" s="116"/>
      <c r="F101" s="426">
        <f>F78</f>
        <v>13418060.841188001</v>
      </c>
      <c r="G101" s="116"/>
      <c r="H101" s="116"/>
      <c r="I101" s="116"/>
      <c r="J101" s="116"/>
      <c r="K101" s="116"/>
      <c r="L101" s="118">
        <f>L74+L15</f>
        <v>252552</v>
      </c>
      <c r="M101" s="427">
        <f t="shared" si="16"/>
        <v>252552</v>
      </c>
    </row>
    <row r="102" spans="1:13">
      <c r="B102" s="10" t="s">
        <v>85</v>
      </c>
      <c r="F102" s="426">
        <f>SUM(F100:F101)</f>
        <v>14984060.841188001</v>
      </c>
      <c r="L102" s="118">
        <f>SUM(L100:L101)</f>
        <v>1818552</v>
      </c>
      <c r="M102" s="427">
        <f t="shared" si="16"/>
        <v>1818552</v>
      </c>
    </row>
    <row r="104" spans="1:13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8" spans="1:13" ht="15.75" thickBot="1"/>
    <row r="109" spans="1:13">
      <c r="B109" s="428"/>
      <c r="C109" s="429"/>
      <c r="D109" s="429"/>
      <c r="E109" s="430" t="s">
        <v>0</v>
      </c>
      <c r="F109" s="429"/>
      <c r="G109" s="431"/>
      <c r="H109" s="429"/>
      <c r="I109" s="429"/>
      <c r="J109" s="429"/>
      <c r="K109" s="429"/>
      <c r="L109" s="429"/>
      <c r="M109" s="432"/>
    </row>
    <row r="110" spans="1:13">
      <c r="B110" s="433"/>
      <c r="C110" s="2"/>
      <c r="D110" s="2"/>
      <c r="E110" s="2"/>
      <c r="F110" s="2"/>
      <c r="G110" s="2" t="s">
        <v>1</v>
      </c>
      <c r="H110" s="2"/>
      <c r="I110" s="2"/>
      <c r="J110" s="2"/>
      <c r="K110" s="2"/>
      <c r="L110" s="2"/>
      <c r="M110" s="434"/>
    </row>
    <row r="111" spans="1:13">
      <c r="B111" s="435"/>
      <c r="C111" s="2"/>
      <c r="D111" s="2"/>
      <c r="E111" s="2"/>
      <c r="G111" s="2"/>
      <c r="H111" s="2"/>
      <c r="I111" s="2"/>
      <c r="J111" s="2"/>
      <c r="K111" s="2"/>
      <c r="L111" s="2"/>
      <c r="M111" s="436" t="s">
        <v>268</v>
      </c>
    </row>
    <row r="112" spans="1:13">
      <c r="B112" s="43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438"/>
    </row>
    <row r="113" spans="2:13">
      <c r="B113" s="439"/>
      <c r="C113" s="5" t="s">
        <v>3</v>
      </c>
      <c r="D113" s="10" t="s">
        <v>275</v>
      </c>
      <c r="E113" s="10"/>
      <c r="F113" s="10"/>
      <c r="G113" s="10"/>
      <c r="H113" s="268"/>
      <c r="I113" s="7"/>
      <c r="J113" s="7"/>
      <c r="K113" s="7"/>
      <c r="L113" s="5" t="s">
        <v>5</v>
      </c>
      <c r="M113" s="8" t="s">
        <v>276</v>
      </c>
    </row>
    <row r="114" spans="2:13">
      <c r="B114" s="439"/>
      <c r="C114" s="5" t="s">
        <v>7</v>
      </c>
      <c r="D114" s="9">
        <v>1</v>
      </c>
      <c r="E114" s="7"/>
      <c r="F114" s="10"/>
      <c r="G114" s="10"/>
      <c r="H114" s="10"/>
      <c r="I114" s="7"/>
      <c r="J114" s="7"/>
      <c r="K114" s="7"/>
      <c r="L114" s="5" t="s">
        <v>8</v>
      </c>
      <c r="M114" s="8">
        <v>3298159.3539999998</v>
      </c>
    </row>
    <row r="115" spans="2:13">
      <c r="B115" s="439"/>
      <c r="C115" s="5" t="s">
        <v>9</v>
      </c>
      <c r="D115" s="10" t="s">
        <v>366</v>
      </c>
      <c r="E115" s="10"/>
      <c r="F115" s="10"/>
      <c r="G115" s="10"/>
      <c r="H115" s="11"/>
      <c r="I115" s="7"/>
      <c r="J115" s="7"/>
      <c r="K115" s="7"/>
      <c r="L115" s="5" t="s">
        <v>12</v>
      </c>
      <c r="M115" s="12" t="s">
        <v>278</v>
      </c>
    </row>
    <row r="116" spans="2:13">
      <c r="B116" s="439"/>
      <c r="C116" s="5" t="s">
        <v>14</v>
      </c>
      <c r="D116" s="10" t="s">
        <v>279</v>
      </c>
      <c r="E116" s="10"/>
      <c r="F116" s="10"/>
      <c r="G116" s="10"/>
      <c r="H116" s="10"/>
      <c r="I116" s="7"/>
      <c r="J116" s="7"/>
      <c r="K116" s="7"/>
      <c r="L116" s="7"/>
      <c r="M116" s="438"/>
    </row>
    <row r="117" spans="2:13">
      <c r="B117" s="433"/>
      <c r="C117" s="5"/>
      <c r="D117" s="10"/>
      <c r="E117" s="10"/>
      <c r="F117" s="10"/>
      <c r="G117" s="10"/>
      <c r="K117" s="7"/>
      <c r="L117" s="7"/>
      <c r="M117" s="438"/>
    </row>
    <row r="118" spans="2:13">
      <c r="B118" s="439"/>
      <c r="C118" s="5"/>
      <c r="D118" s="10"/>
      <c r="E118" s="10"/>
      <c r="F118" s="127" t="s">
        <v>90</v>
      </c>
      <c r="G118" s="10"/>
      <c r="H118" s="1085" t="s">
        <v>25</v>
      </c>
      <c r="I118" s="1085"/>
      <c r="J118" s="1085" t="s">
        <v>26</v>
      </c>
      <c r="K118" s="1085"/>
      <c r="L118" s="1085" t="s">
        <v>27</v>
      </c>
      <c r="M118" s="1140"/>
    </row>
    <row r="119" spans="2:13">
      <c r="B119" s="441" t="s">
        <v>367</v>
      </c>
      <c r="C119" s="10"/>
      <c r="D119" s="10"/>
      <c r="E119" s="10"/>
      <c r="F119" s="134">
        <f>F102</f>
        <v>14984060.841188001</v>
      </c>
      <c r="G119" s="95"/>
      <c r="H119" s="1141"/>
      <c r="I119" s="1141"/>
      <c r="J119" s="1142">
        <f>L102</f>
        <v>1818552</v>
      </c>
      <c r="K119" s="1142"/>
      <c r="L119" s="1088">
        <f>H119+J119</f>
        <v>1818552</v>
      </c>
      <c r="M119" s="1143"/>
    </row>
    <row r="120" spans="2:13">
      <c r="B120" s="439"/>
      <c r="C120" s="9" t="s">
        <v>93</v>
      </c>
      <c r="D120" s="10"/>
      <c r="E120" s="10"/>
      <c r="F120" s="10"/>
      <c r="G120" s="10"/>
      <c r="H120" s="10"/>
      <c r="I120" s="7"/>
      <c r="J120" s="7"/>
      <c r="L120" s="7"/>
      <c r="M120" s="444"/>
    </row>
    <row r="121" spans="2:13">
      <c r="B121" s="439"/>
      <c r="C121" s="9"/>
      <c r="D121" s="10"/>
      <c r="E121" s="10"/>
      <c r="F121" s="10"/>
      <c r="G121" s="10"/>
      <c r="H121" s="10"/>
      <c r="I121" s="7"/>
      <c r="J121" s="7"/>
      <c r="L121" s="7"/>
      <c r="M121" s="444"/>
    </row>
    <row r="122" spans="2:13">
      <c r="B122" s="439"/>
      <c r="C122" s="9" t="s">
        <v>94</v>
      </c>
      <c r="D122" s="10"/>
      <c r="E122" s="10"/>
      <c r="F122" s="10"/>
      <c r="G122" s="10"/>
      <c r="H122" s="10"/>
      <c r="I122" s="7"/>
      <c r="J122" s="7"/>
      <c r="L122" s="1142">
        <f>E123*L119</f>
        <v>54556.56</v>
      </c>
      <c r="M122" s="1144"/>
    </row>
    <row r="123" spans="2:13">
      <c r="B123" s="445"/>
      <c r="C123" s="10" t="s">
        <v>95</v>
      </c>
      <c r="D123" s="139"/>
      <c r="E123" s="139">
        <v>0.03</v>
      </c>
      <c r="F123" s="443">
        <f>E123*F119</f>
        <v>449521.82523563999</v>
      </c>
      <c r="G123" s="443"/>
      <c r="H123" s="1145"/>
      <c r="I123" s="1145"/>
      <c r="J123" s="1142">
        <f>E123*J119</f>
        <v>54556.56</v>
      </c>
      <c r="K123" s="1142"/>
      <c r="L123" s="1142"/>
      <c r="M123" s="1144"/>
    </row>
    <row r="124" spans="2:13">
      <c r="B124" s="445"/>
      <c r="C124" s="10" t="s">
        <v>96</v>
      </c>
      <c r="D124" s="139"/>
      <c r="E124" s="144">
        <v>0.1</v>
      </c>
      <c r="F124" s="443">
        <f>E124*F119</f>
        <v>1498406.0841188002</v>
      </c>
      <c r="G124" s="443"/>
      <c r="H124" s="1145"/>
      <c r="I124" s="1145"/>
      <c r="J124" s="1142">
        <f>E124*J119</f>
        <v>181855.2</v>
      </c>
      <c r="K124" s="1142"/>
      <c r="L124" s="1142">
        <f>E124*L119</f>
        <v>181855.2</v>
      </c>
      <c r="M124" s="1144"/>
    </row>
    <row r="125" spans="2:13">
      <c r="B125" s="445"/>
      <c r="C125" s="10" t="s">
        <v>97</v>
      </c>
      <c r="D125" s="139"/>
      <c r="E125" s="144">
        <v>0.18</v>
      </c>
      <c r="F125" s="443">
        <f>E125*F124</f>
        <v>269713.09514138405</v>
      </c>
      <c r="G125" s="443"/>
      <c r="H125" s="1145"/>
      <c r="I125" s="1145"/>
      <c r="J125" s="1142">
        <f>E125*J124</f>
        <v>32733.936000000002</v>
      </c>
      <c r="K125" s="1142"/>
      <c r="L125" s="1142">
        <f>E125*L124</f>
        <v>32733.936000000002</v>
      </c>
      <c r="M125" s="1144"/>
    </row>
    <row r="126" spans="2:13">
      <c r="B126" s="445"/>
      <c r="C126" s="10" t="s">
        <v>98</v>
      </c>
      <c r="D126" s="139"/>
      <c r="E126" s="144">
        <v>0.04</v>
      </c>
      <c r="F126" s="443">
        <f>E126*F119</f>
        <v>599362.43364752003</v>
      </c>
      <c r="G126" s="443"/>
      <c r="H126" s="1145"/>
      <c r="I126" s="1145"/>
      <c r="J126" s="1142">
        <f>E126*J119</f>
        <v>72742.080000000002</v>
      </c>
      <c r="K126" s="1142"/>
      <c r="L126" s="1142">
        <f>E126*L119</f>
        <v>72742.080000000002</v>
      </c>
      <c r="M126" s="1144"/>
    </row>
    <row r="127" spans="2:13">
      <c r="B127" s="445"/>
      <c r="C127" s="10" t="s">
        <v>99</v>
      </c>
      <c r="D127" s="144"/>
      <c r="E127" s="163">
        <v>0.03</v>
      </c>
      <c r="F127" s="443">
        <f>E127*F119</f>
        <v>449521.82523563999</v>
      </c>
      <c r="G127" s="443"/>
      <c r="H127" s="1145"/>
      <c r="I127" s="1145"/>
      <c r="J127" s="1088">
        <f>E127*J119</f>
        <v>54556.56</v>
      </c>
      <c r="K127" s="1088"/>
      <c r="L127" s="1142">
        <f>E127*L119</f>
        <v>54556.56</v>
      </c>
      <c r="M127" s="1144"/>
    </row>
    <row r="128" spans="2:13">
      <c r="B128" s="445"/>
      <c r="C128" s="10" t="s">
        <v>100</v>
      </c>
      <c r="D128" s="139"/>
      <c r="E128" s="144">
        <v>0.01</v>
      </c>
      <c r="F128" s="443">
        <f>E128*F119</f>
        <v>149840.60841188001</v>
      </c>
      <c r="G128" s="443"/>
      <c r="H128" s="1145"/>
      <c r="I128" s="1145"/>
      <c r="J128" s="1088">
        <f>E128*J119</f>
        <v>18185.52</v>
      </c>
      <c r="K128" s="1088"/>
      <c r="L128" s="1142">
        <f>E128*L119</f>
        <v>18185.52</v>
      </c>
      <c r="M128" s="1144"/>
    </row>
    <row r="129" spans="2:13">
      <c r="B129" s="445"/>
      <c r="C129" s="10" t="s">
        <v>101</v>
      </c>
      <c r="D129" s="139"/>
      <c r="E129" s="259">
        <v>1E-3</v>
      </c>
      <c r="F129" s="446">
        <f>E129*F119</f>
        <v>14984.060841188</v>
      </c>
      <c r="G129" s="446"/>
      <c r="H129" s="1146"/>
      <c r="I129" s="1146"/>
      <c r="J129" s="1147">
        <f>E129*J119</f>
        <v>1818.5520000000001</v>
      </c>
      <c r="K129" s="1147"/>
      <c r="L129" s="1148">
        <f>E129*L119</f>
        <v>1818.5520000000001</v>
      </c>
      <c r="M129" s="1149"/>
    </row>
    <row r="130" spans="2:13">
      <c r="B130" s="445"/>
      <c r="C130" s="10" t="s">
        <v>104</v>
      </c>
      <c r="D130" s="144"/>
      <c r="E130" s="144">
        <f>E129+E128+E127+E126+E124+E123+1.8%</f>
        <v>0.22899999999999998</v>
      </c>
      <c r="F130" s="443">
        <f>F123+F124+F125+F126+F127+F128+F129</f>
        <v>3431349.9326320523</v>
      </c>
      <c r="G130" s="443"/>
      <c r="H130" s="1151"/>
      <c r="I130" s="1151"/>
      <c r="J130" s="1088">
        <f>J123+J124+J125+J126+J127+J128+J129</f>
        <v>416448.40800000005</v>
      </c>
      <c r="K130" s="1088"/>
      <c r="L130" s="1142">
        <f>L122+L124+L125+L126+L127+L128+L129</f>
        <v>416448.40800000005</v>
      </c>
      <c r="M130" s="1144"/>
    </row>
    <row r="131" spans="2:13">
      <c r="B131" s="445"/>
      <c r="C131" s="10"/>
      <c r="D131" s="144"/>
      <c r="E131" s="127"/>
      <c r="F131" s="447"/>
      <c r="G131" s="447"/>
      <c r="H131" s="388"/>
      <c r="I131" s="448"/>
      <c r="J131" s="143"/>
      <c r="K131" s="449"/>
      <c r="L131" s="447"/>
      <c r="M131" s="450"/>
    </row>
    <row r="132" spans="2:13">
      <c r="B132" s="445"/>
      <c r="C132" s="9" t="s">
        <v>271</v>
      </c>
      <c r="D132" s="139"/>
      <c r="E132" s="127"/>
      <c r="F132" s="443">
        <f>F119+F130</f>
        <v>18415410.773820054</v>
      </c>
      <c r="G132" s="443"/>
      <c r="H132" s="1151"/>
      <c r="I132" s="1151"/>
      <c r="J132" s="1088">
        <f>J119+J130</f>
        <v>2235000.4079999998</v>
      </c>
      <c r="K132" s="1088"/>
      <c r="L132" s="1142">
        <f>L119+L130</f>
        <v>2235000.4079999998</v>
      </c>
      <c r="M132" s="1144"/>
    </row>
    <row r="133" spans="2:13">
      <c r="B133" s="445"/>
      <c r="C133" s="9"/>
      <c r="D133" s="158"/>
      <c r="E133" s="159"/>
      <c r="F133" s="451"/>
      <c r="G133" s="451"/>
      <c r="H133" s="451"/>
      <c r="I133" s="452"/>
      <c r="J133" s="138"/>
      <c r="L133" s="158"/>
      <c r="M133" s="453"/>
    </row>
    <row r="134" spans="2:13">
      <c r="B134" s="439"/>
      <c r="C134" s="161" t="s">
        <v>106</v>
      </c>
      <c r="D134" s="7"/>
      <c r="E134" s="7"/>
      <c r="F134" s="7"/>
      <c r="G134" s="7"/>
      <c r="H134" s="7"/>
      <c r="I134" s="7"/>
      <c r="J134" s="1152"/>
      <c r="K134" s="1152"/>
      <c r="L134" s="1152"/>
      <c r="M134" s="1153"/>
    </row>
    <row r="135" spans="2:13">
      <c r="B135" s="439"/>
      <c r="C135" s="10" t="s">
        <v>11</v>
      </c>
      <c r="D135" s="7"/>
      <c r="E135" s="144"/>
      <c r="F135" s="7"/>
      <c r="G135" s="7"/>
      <c r="H135" s="1141"/>
      <c r="I135" s="1141"/>
      <c r="J135" s="454"/>
      <c r="K135" s="454"/>
      <c r="L135" s="96"/>
      <c r="M135" s="455"/>
    </row>
    <row r="136" spans="2:13">
      <c r="B136" s="439"/>
      <c r="C136" s="9"/>
      <c r="D136" s="7"/>
      <c r="E136" s="139"/>
      <c r="F136" s="7"/>
      <c r="G136" s="7"/>
      <c r="H136" s="1141"/>
      <c r="I136" s="1141"/>
      <c r="J136" s="1141"/>
      <c r="K136" s="1141"/>
      <c r="L136" s="1141"/>
      <c r="M136" s="1154"/>
    </row>
    <row r="137" spans="2:13">
      <c r="B137" s="439"/>
      <c r="C137" s="9" t="s">
        <v>107</v>
      </c>
      <c r="D137" s="159"/>
      <c r="E137" s="163">
        <v>0.2</v>
      </c>
      <c r="F137" s="159"/>
      <c r="G137" s="159"/>
      <c r="H137" s="1141"/>
      <c r="I137" s="1141"/>
      <c r="J137" s="1093">
        <f>J132*E137</f>
        <v>447000.08159999998</v>
      </c>
      <c r="K137" s="1093"/>
      <c r="L137" s="1093">
        <f>H137+J137</f>
        <v>447000.08159999998</v>
      </c>
      <c r="M137" s="1150"/>
    </row>
    <row r="138" spans="2:13">
      <c r="B138" s="439"/>
      <c r="C138" s="9"/>
      <c r="D138" s="159"/>
      <c r="E138" s="159"/>
      <c r="F138" s="159"/>
      <c r="G138" s="159"/>
      <c r="H138" s="1155"/>
      <c r="I138" s="1155"/>
      <c r="J138" s="1155"/>
      <c r="K138" s="1155"/>
      <c r="L138" s="1156"/>
      <c r="M138" s="1157"/>
    </row>
    <row r="139" spans="2:13">
      <c r="B139" s="439"/>
      <c r="C139" s="159"/>
      <c r="D139" s="159"/>
      <c r="E139" s="159"/>
      <c r="F139" s="159"/>
      <c r="G139" s="159"/>
      <c r="H139" s="452"/>
      <c r="L139" s="169"/>
      <c r="M139" s="444"/>
    </row>
    <row r="140" spans="2:13">
      <c r="B140" s="439"/>
      <c r="C140" s="159"/>
      <c r="D140" s="159"/>
      <c r="E140" s="159"/>
      <c r="F140" s="159"/>
      <c r="G140" s="159"/>
      <c r="H140" s="452"/>
      <c r="J140" s="169"/>
      <c r="L140" s="169"/>
      <c r="M140" s="444"/>
    </row>
    <row r="141" spans="2:13">
      <c r="B141" s="439"/>
      <c r="C141" s="9" t="s">
        <v>108</v>
      </c>
      <c r="D141" s="159"/>
      <c r="E141" s="159"/>
      <c r="F141" s="159"/>
      <c r="G141" s="159"/>
      <c r="H141" s="1158"/>
      <c r="I141" s="1158"/>
      <c r="J141" s="1159">
        <f>J132-J137</f>
        <v>1788000.3263999999</v>
      </c>
      <c r="K141" s="1159"/>
      <c r="L141" s="1160">
        <f>H141+J141</f>
        <v>1788000.3263999999</v>
      </c>
      <c r="M141" s="1161"/>
    </row>
    <row r="142" spans="2:13">
      <c r="B142" s="439"/>
      <c r="C142" s="9"/>
      <c r="D142" s="159"/>
      <c r="E142" s="159"/>
      <c r="F142" s="159"/>
      <c r="G142" s="159"/>
      <c r="H142" s="159"/>
      <c r="I142" s="452"/>
      <c r="J142" s="7"/>
      <c r="K142" s="143"/>
      <c r="L142" s="159"/>
      <c r="M142" s="436"/>
    </row>
    <row r="143" spans="2:13">
      <c r="B143" s="437"/>
      <c r="C143" s="127"/>
      <c r="D143" s="127" t="s">
        <v>109</v>
      </c>
      <c r="E143" s="127"/>
      <c r="F143" s="127"/>
      <c r="G143" s="127"/>
      <c r="H143" s="127" t="s">
        <v>110</v>
      </c>
      <c r="I143" s="127"/>
      <c r="J143" s="127"/>
      <c r="K143" s="127" t="s">
        <v>111</v>
      </c>
      <c r="L143" s="127"/>
      <c r="M143" s="440"/>
    </row>
    <row r="144" spans="2:13">
      <c r="B144" s="43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440"/>
    </row>
    <row r="145" spans="2:13">
      <c r="B145" s="437"/>
      <c r="C145" s="127"/>
      <c r="D145" s="127"/>
      <c r="E145" s="127"/>
      <c r="F145" s="127"/>
      <c r="G145" s="127"/>
      <c r="H145" s="127"/>
      <c r="I145" s="448"/>
      <c r="J145" s="10"/>
      <c r="K145" s="159"/>
      <c r="L145" s="159"/>
      <c r="M145" s="436"/>
    </row>
    <row r="146" spans="2:13">
      <c r="B146" s="437"/>
      <c r="C146" s="127"/>
      <c r="D146" s="127" t="s">
        <v>112</v>
      </c>
      <c r="E146" s="127"/>
      <c r="F146" s="127"/>
      <c r="G146" s="127"/>
      <c r="H146" s="127" t="s">
        <v>113</v>
      </c>
      <c r="I146" s="127"/>
      <c r="J146" s="127"/>
      <c r="K146" s="143" t="s">
        <v>273</v>
      </c>
      <c r="L146" s="143"/>
      <c r="M146" s="456"/>
    </row>
    <row r="147" spans="2:13" ht="15.75" thickBot="1">
      <c r="B147" s="457"/>
      <c r="C147" s="458"/>
      <c r="D147" s="458" t="s">
        <v>115</v>
      </c>
      <c r="E147" s="458"/>
      <c r="F147" s="458"/>
      <c r="G147" s="458"/>
      <c r="H147" s="458" t="s">
        <v>116</v>
      </c>
      <c r="I147" s="458"/>
      <c r="J147" s="458"/>
      <c r="K147" s="458" t="s">
        <v>274</v>
      </c>
      <c r="L147" s="458"/>
      <c r="M147" s="459"/>
    </row>
  </sheetData>
  <mergeCells count="56">
    <mergeCell ref="H138:I138"/>
    <mergeCell ref="J138:K138"/>
    <mergeCell ref="L138:M138"/>
    <mergeCell ref="H141:I141"/>
    <mergeCell ref="J141:K141"/>
    <mergeCell ref="L141:M141"/>
    <mergeCell ref="H137:I137"/>
    <mergeCell ref="J137:K137"/>
    <mergeCell ref="L137:M137"/>
    <mergeCell ref="H130:I130"/>
    <mergeCell ref="J130:K130"/>
    <mergeCell ref="L130:M130"/>
    <mergeCell ref="H132:I132"/>
    <mergeCell ref="J132:K132"/>
    <mergeCell ref="L132:M132"/>
    <mergeCell ref="J134:M134"/>
    <mergeCell ref="H135:I135"/>
    <mergeCell ref="H136:I136"/>
    <mergeCell ref="J136:K136"/>
    <mergeCell ref="L136:M136"/>
    <mergeCell ref="H128:I128"/>
    <mergeCell ref="J128:K128"/>
    <mergeCell ref="L128:M128"/>
    <mergeCell ref="H129:I129"/>
    <mergeCell ref="J129:K129"/>
    <mergeCell ref="L129:M129"/>
    <mergeCell ref="H126:I126"/>
    <mergeCell ref="J126:K126"/>
    <mergeCell ref="L126:M126"/>
    <mergeCell ref="H127:I127"/>
    <mergeCell ref="J127:K127"/>
    <mergeCell ref="L127:M127"/>
    <mergeCell ref="H124:I124"/>
    <mergeCell ref="J124:K124"/>
    <mergeCell ref="L124:M124"/>
    <mergeCell ref="H125:I125"/>
    <mergeCell ref="J125:K125"/>
    <mergeCell ref="L125:M125"/>
    <mergeCell ref="H119:I119"/>
    <mergeCell ref="J119:K119"/>
    <mergeCell ref="L119:M119"/>
    <mergeCell ref="L122:M123"/>
    <mergeCell ref="H123:I123"/>
    <mergeCell ref="J123:K123"/>
    <mergeCell ref="A81:F81"/>
    <mergeCell ref="G81:J81"/>
    <mergeCell ref="K81:M81"/>
    <mergeCell ref="H118:I118"/>
    <mergeCell ref="J118:K118"/>
    <mergeCell ref="L118:M118"/>
    <mergeCell ref="A1:M1"/>
    <mergeCell ref="A2:M2"/>
    <mergeCell ref="C4:I4"/>
    <mergeCell ref="A8:F8"/>
    <mergeCell ref="G8:J8"/>
    <mergeCell ref="K8:M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2FE1-6CED-407D-BA89-254C8B46C15F}">
  <sheetPr codeName="Hoja5"/>
  <dimension ref="A2:M88"/>
  <sheetViews>
    <sheetView topLeftCell="A40" zoomScaleNormal="100" workbookViewId="0">
      <selection activeCell="H75" sqref="H75:I75"/>
    </sheetView>
  </sheetViews>
  <sheetFormatPr baseColWidth="10" defaultRowHeight="15"/>
  <cols>
    <col min="1" max="1" width="8.85546875" customWidth="1"/>
    <col min="2" max="2" width="33" customWidth="1"/>
    <col min="6" max="6" width="16.85546875" customWidth="1"/>
    <col min="12" max="12" width="12.7109375" bestFit="1" customWidth="1"/>
    <col min="13" max="13" width="15.42578125" customWidth="1"/>
  </cols>
  <sheetData>
    <row r="2" spans="1:13">
      <c r="A2" s="1085" t="s">
        <v>0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</row>
    <row r="3" spans="1:13">
      <c r="A3" s="1079" t="s">
        <v>1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1079"/>
    </row>
    <row r="4" spans="1:13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159" t="s">
        <v>2</v>
      </c>
    </row>
    <row r="5" spans="1:13">
      <c r="A5" s="7"/>
      <c r="B5" s="5" t="s">
        <v>3</v>
      </c>
      <c r="C5" s="1081" t="s">
        <v>368</v>
      </c>
      <c r="D5" s="1081"/>
      <c r="E5" s="1081"/>
      <c r="F5" s="1081"/>
      <c r="G5" s="1081"/>
      <c r="H5" s="1081"/>
      <c r="I5" s="1081"/>
      <c r="J5" s="7"/>
      <c r="K5" s="7"/>
      <c r="L5" s="5" t="s">
        <v>5</v>
      </c>
      <c r="M5" s="131" t="s">
        <v>369</v>
      </c>
    </row>
    <row r="6" spans="1:13">
      <c r="A6" s="7"/>
      <c r="B6" s="5" t="s">
        <v>7</v>
      </c>
      <c r="C6" s="9">
        <v>1</v>
      </c>
      <c r="D6" s="7"/>
      <c r="E6" s="10"/>
      <c r="F6" s="10"/>
      <c r="G6" s="10"/>
      <c r="H6" s="7"/>
      <c r="I6" s="7"/>
      <c r="J6" s="7"/>
      <c r="K6" s="7"/>
      <c r="L6" s="5" t="s">
        <v>8</v>
      </c>
      <c r="M6" s="131">
        <v>2418906.3459999999</v>
      </c>
    </row>
    <row r="7" spans="1:13">
      <c r="A7" s="7"/>
      <c r="B7" s="5" t="s">
        <v>9</v>
      </c>
      <c r="C7" s="10" t="s">
        <v>370</v>
      </c>
      <c r="D7" s="10"/>
      <c r="E7" s="10"/>
      <c r="F7" s="10" t="s">
        <v>11</v>
      </c>
      <c r="G7" s="11"/>
      <c r="H7" s="7"/>
      <c r="I7" s="7"/>
      <c r="J7" s="7"/>
      <c r="K7" s="7"/>
      <c r="L7" s="5" t="s">
        <v>12</v>
      </c>
      <c r="M7" s="132" t="s">
        <v>371</v>
      </c>
    </row>
    <row r="8" spans="1:13">
      <c r="A8" s="7"/>
      <c r="B8" s="5" t="s">
        <v>14</v>
      </c>
      <c r="C8" s="10" t="s">
        <v>372</v>
      </c>
      <c r="D8" s="10"/>
      <c r="E8" s="10"/>
      <c r="F8" s="10"/>
      <c r="H8" s="7"/>
      <c r="I8" s="7"/>
      <c r="J8" s="7"/>
      <c r="K8" s="7"/>
      <c r="L8" s="7"/>
      <c r="M8" s="7"/>
    </row>
    <row r="9" spans="1:13">
      <c r="A9" s="1082" t="s">
        <v>16</v>
      </c>
      <c r="B9" s="1082"/>
      <c r="C9" s="1082"/>
      <c r="D9" s="1082"/>
      <c r="E9" s="1082"/>
      <c r="F9" s="1082"/>
      <c r="G9" s="1083" t="s">
        <v>17</v>
      </c>
      <c r="H9" s="1083"/>
      <c r="I9" s="1083"/>
      <c r="J9" s="1083"/>
      <c r="K9" s="1084" t="s">
        <v>18</v>
      </c>
      <c r="L9" s="1084"/>
      <c r="M9" s="1084"/>
    </row>
    <row r="10" spans="1:13">
      <c r="A10" s="14" t="s">
        <v>19</v>
      </c>
      <c r="B10" s="15" t="s">
        <v>20</v>
      </c>
      <c r="C10" s="15" t="s">
        <v>21</v>
      </c>
      <c r="D10" s="15" t="s">
        <v>22</v>
      </c>
      <c r="E10" s="16" t="s">
        <v>23</v>
      </c>
      <c r="F10" s="16" t="s">
        <v>24</v>
      </c>
      <c r="G10" s="17" t="s">
        <v>25</v>
      </c>
      <c r="H10" s="17" t="s">
        <v>26</v>
      </c>
      <c r="I10" s="18" t="s">
        <v>27</v>
      </c>
      <c r="J10" s="19" t="s">
        <v>28</v>
      </c>
      <c r="K10" s="20" t="s">
        <v>25</v>
      </c>
      <c r="L10" s="21" t="s">
        <v>26</v>
      </c>
      <c r="M10" s="21" t="s">
        <v>27</v>
      </c>
    </row>
    <row r="11" spans="1:13">
      <c r="A11" s="22" t="s">
        <v>29</v>
      </c>
      <c r="B11" s="23" t="s">
        <v>373</v>
      </c>
      <c r="C11" s="24"/>
      <c r="D11" s="25"/>
      <c r="E11" s="26"/>
      <c r="F11" s="26"/>
      <c r="G11" s="27"/>
      <c r="H11" s="27"/>
      <c r="I11" s="28"/>
      <c r="J11" s="29"/>
      <c r="K11" s="30"/>
      <c r="L11" s="31"/>
      <c r="M11" s="31"/>
    </row>
    <row r="12" spans="1:13">
      <c r="A12" s="32">
        <v>1</v>
      </c>
      <c r="B12" s="33" t="s">
        <v>37</v>
      </c>
      <c r="C12" s="34" t="s">
        <v>38</v>
      </c>
      <c r="D12" s="35">
        <v>780</v>
      </c>
      <c r="E12" s="36">
        <v>60</v>
      </c>
      <c r="F12" s="37">
        <f>D12*E12</f>
        <v>46800</v>
      </c>
      <c r="G12" s="27"/>
      <c r="H12" s="27">
        <v>780</v>
      </c>
      <c r="I12" s="38">
        <f>G12+H12</f>
        <v>780</v>
      </c>
      <c r="J12" s="460">
        <f>H12/D12</f>
        <v>1</v>
      </c>
      <c r="K12" s="40"/>
      <c r="L12" s="41">
        <f>H12*E12</f>
        <v>46800</v>
      </c>
      <c r="M12" s="31"/>
    </row>
    <row r="13" spans="1:13">
      <c r="A13" s="32">
        <v>1.02</v>
      </c>
      <c r="B13" s="33" t="s">
        <v>374</v>
      </c>
      <c r="C13" s="34" t="s">
        <v>55</v>
      </c>
      <c r="D13" s="35">
        <v>1</v>
      </c>
      <c r="E13" s="36">
        <v>100000</v>
      </c>
      <c r="F13" s="37">
        <f>D13*E13</f>
        <v>100000</v>
      </c>
      <c r="G13" s="27"/>
      <c r="H13" s="27">
        <v>0.5</v>
      </c>
      <c r="I13" s="38">
        <f>G13+H13</f>
        <v>0.5</v>
      </c>
      <c r="J13" s="460">
        <f>H13/D13</f>
        <v>0.5</v>
      </c>
      <c r="K13" s="44"/>
      <c r="L13" s="41">
        <f>H13*E13</f>
        <v>50000</v>
      </c>
      <c r="M13" s="45"/>
    </row>
    <row r="14" spans="1:13">
      <c r="A14" s="32">
        <v>1.03</v>
      </c>
      <c r="B14" s="33" t="s">
        <v>375</v>
      </c>
      <c r="C14" s="34" t="s">
        <v>55</v>
      </c>
      <c r="D14" s="35">
        <v>1</v>
      </c>
      <c r="E14" s="36">
        <v>50000</v>
      </c>
      <c r="F14" s="37">
        <f>D14*E14</f>
        <v>50000</v>
      </c>
      <c r="G14" s="27"/>
      <c r="H14" s="27">
        <v>0.4</v>
      </c>
      <c r="I14" s="38">
        <f>G14+H14</f>
        <v>0.4</v>
      </c>
      <c r="J14" s="460">
        <f>H14/D14</f>
        <v>0.4</v>
      </c>
      <c r="K14" s="47"/>
      <c r="L14" s="41">
        <f>H14*E14</f>
        <v>20000</v>
      </c>
      <c r="M14" s="31"/>
    </row>
    <row r="15" spans="1:13">
      <c r="A15" s="46"/>
      <c r="B15" s="42" t="s">
        <v>39</v>
      </c>
      <c r="C15" s="34"/>
      <c r="D15" s="35"/>
      <c r="E15" s="36"/>
      <c r="F15" s="43">
        <f>SUM(F12:F14)</f>
        <v>196800</v>
      </c>
      <c r="G15" s="27"/>
      <c r="H15" s="27"/>
      <c r="I15" s="38"/>
      <c r="J15" s="39"/>
      <c r="K15" s="47"/>
      <c r="L15" s="63">
        <f>SUM(L12:L14)</f>
        <v>116800</v>
      </c>
      <c r="M15" s="31"/>
    </row>
    <row r="16" spans="1:13">
      <c r="A16" s="46">
        <v>2</v>
      </c>
      <c r="B16" s="42" t="s">
        <v>43</v>
      </c>
      <c r="C16" s="34"/>
      <c r="D16" s="35"/>
      <c r="E16" s="48"/>
      <c r="F16" s="37"/>
      <c r="G16" s="27"/>
      <c r="H16" s="27"/>
      <c r="I16" s="38"/>
      <c r="J16" s="39"/>
      <c r="K16" s="49"/>
      <c r="L16" s="41"/>
      <c r="M16" s="31"/>
    </row>
    <row r="17" spans="1:13">
      <c r="A17" s="32">
        <v>2.0099999999999998</v>
      </c>
      <c r="B17" s="33" t="s">
        <v>44</v>
      </c>
      <c r="C17" s="34" t="s">
        <v>45</v>
      </c>
      <c r="D17" s="35">
        <v>861.9</v>
      </c>
      <c r="E17" s="48">
        <f>233830.61/D17</f>
        <v>271.29668174962291</v>
      </c>
      <c r="F17" s="37">
        <f t="shared" ref="F17:F39" si="0">D17*E17</f>
        <v>233830.61</v>
      </c>
      <c r="G17" s="27"/>
      <c r="H17" s="27">
        <f>H23*1.2*0.85</f>
        <v>795.6</v>
      </c>
      <c r="I17" s="38">
        <f>G17+H17</f>
        <v>795.6</v>
      </c>
      <c r="J17" s="460">
        <f>H17/D17</f>
        <v>0.92307692307692313</v>
      </c>
      <c r="K17" s="44"/>
      <c r="L17" s="41">
        <f>H17*E17</f>
        <v>215843.63999999998</v>
      </c>
      <c r="M17" s="31"/>
    </row>
    <row r="18" spans="1:13">
      <c r="A18" s="32">
        <v>2.02</v>
      </c>
      <c r="B18" s="33" t="s">
        <v>46</v>
      </c>
      <c r="C18" s="34" t="s">
        <v>45</v>
      </c>
      <c r="D18" s="397">
        <v>69.62</v>
      </c>
      <c r="E18" s="48">
        <f>174374.89/D18</f>
        <v>2504.6666187877049</v>
      </c>
      <c r="F18" s="37">
        <f t="shared" si="0"/>
        <v>174374.89</v>
      </c>
      <c r="G18" s="27"/>
      <c r="H18" s="27">
        <f>H23*0.85*0.1</f>
        <v>66.3</v>
      </c>
      <c r="I18" s="38">
        <f>G18+H18</f>
        <v>66.3</v>
      </c>
      <c r="J18" s="460">
        <f>H18/D18</f>
        <v>0.95231255386383218</v>
      </c>
      <c r="K18" s="44"/>
      <c r="L18" s="41">
        <f>H18*E18</f>
        <v>166059.39682562483</v>
      </c>
      <c r="M18" s="31"/>
    </row>
    <row r="19" spans="1:13">
      <c r="A19" s="32">
        <v>2.0299999999999998</v>
      </c>
      <c r="B19" s="33" t="s">
        <v>47</v>
      </c>
      <c r="C19" s="34" t="s">
        <v>45</v>
      </c>
      <c r="D19" s="35">
        <v>142</v>
      </c>
      <c r="E19" s="461">
        <v>413</v>
      </c>
      <c r="F19" s="37">
        <f t="shared" si="0"/>
        <v>58646</v>
      </c>
      <c r="G19" s="27"/>
      <c r="H19" s="27">
        <f>D19*0.2</f>
        <v>28.400000000000002</v>
      </c>
      <c r="I19" s="38"/>
      <c r="J19" s="39"/>
      <c r="K19" s="44"/>
      <c r="L19" s="41">
        <f>H19*E19</f>
        <v>11729.2</v>
      </c>
      <c r="M19" s="31"/>
    </row>
    <row r="20" spans="1:13" ht="24.75">
      <c r="A20" s="53">
        <v>2.04</v>
      </c>
      <c r="B20" s="33" t="s">
        <v>48</v>
      </c>
      <c r="C20" s="34" t="s">
        <v>45</v>
      </c>
      <c r="D20" s="35">
        <v>752.67</v>
      </c>
      <c r="E20" s="48">
        <f>56252.11/D20</f>
        <v>74.736750501547832</v>
      </c>
      <c r="F20" s="37">
        <f t="shared" si="0"/>
        <v>56252.11</v>
      </c>
      <c r="G20" s="27"/>
      <c r="H20" s="27">
        <f>655.2*0.85*0.9</f>
        <v>501.22800000000007</v>
      </c>
      <c r="I20" s="38">
        <f>G20+H20</f>
        <v>501.22800000000007</v>
      </c>
      <c r="J20" s="460">
        <f>H20/D20</f>
        <v>0.66593327753198628</v>
      </c>
      <c r="K20" s="44"/>
      <c r="L20" s="41">
        <f>H20*E20</f>
        <v>37460.151980389819</v>
      </c>
      <c r="M20" s="31"/>
    </row>
    <row r="21" spans="1:13">
      <c r="A21" s="32"/>
      <c r="B21" s="42" t="s">
        <v>376</v>
      </c>
      <c r="C21" s="50"/>
      <c r="D21" s="51"/>
      <c r="E21" s="52"/>
      <c r="F21" s="43">
        <f>SUM(F17:F20)</f>
        <v>523103.61</v>
      </c>
      <c r="G21" s="27"/>
      <c r="H21" s="27"/>
      <c r="I21" s="38"/>
      <c r="J21" s="39"/>
      <c r="K21" s="44"/>
      <c r="L21" s="63">
        <f>SUM(L17:L20)</f>
        <v>431092.38880601467</v>
      </c>
      <c r="M21" s="31"/>
    </row>
    <row r="22" spans="1:13">
      <c r="A22" s="46">
        <v>3</v>
      </c>
      <c r="B22" s="42" t="s">
        <v>40</v>
      </c>
      <c r="C22" s="34"/>
      <c r="D22" s="35"/>
      <c r="E22" s="48"/>
      <c r="F22" s="37"/>
      <c r="G22" s="27"/>
      <c r="H22" s="27"/>
      <c r="I22" s="38"/>
      <c r="J22" s="39"/>
      <c r="K22" s="54"/>
      <c r="L22" s="41"/>
      <c r="M22" s="31"/>
    </row>
    <row r="23" spans="1:13" ht="24">
      <c r="A23" s="56">
        <v>3.01</v>
      </c>
      <c r="B23" s="55" t="s">
        <v>377</v>
      </c>
      <c r="C23" s="34" t="s">
        <v>38</v>
      </c>
      <c r="D23" s="35">
        <v>819</v>
      </c>
      <c r="E23" s="48">
        <v>8351.69</v>
      </c>
      <c r="F23" s="37">
        <f t="shared" si="0"/>
        <v>6840034.1100000003</v>
      </c>
      <c r="G23" s="27"/>
      <c r="H23" s="27">
        <v>780</v>
      </c>
      <c r="I23" s="38">
        <f>G23+H23</f>
        <v>780</v>
      </c>
      <c r="J23" s="460">
        <f>H23/D23</f>
        <v>0.95238095238095233</v>
      </c>
      <c r="K23" s="30"/>
      <c r="L23" s="41">
        <f>H23*E23</f>
        <v>6514318.2000000002</v>
      </c>
      <c r="M23" s="31"/>
    </row>
    <row r="24" spans="1:13">
      <c r="A24" s="56"/>
      <c r="B24" s="33" t="s">
        <v>378</v>
      </c>
      <c r="C24" s="57"/>
      <c r="D24" s="35"/>
      <c r="E24" s="48"/>
      <c r="F24" s="43">
        <f>F23</f>
        <v>6840034.1100000003</v>
      </c>
      <c r="G24" s="27"/>
      <c r="H24" s="27"/>
      <c r="I24" s="38"/>
      <c r="J24" s="39"/>
      <c r="K24" s="30"/>
      <c r="L24" s="63">
        <f>SUM(L23)</f>
        <v>6514318.2000000002</v>
      </c>
      <c r="M24" s="31"/>
    </row>
    <row r="25" spans="1:13">
      <c r="A25" s="46">
        <v>4</v>
      </c>
      <c r="B25" s="59" t="s">
        <v>379</v>
      </c>
      <c r="C25" s="34"/>
      <c r="D25" s="35"/>
      <c r="E25" s="48"/>
      <c r="F25" s="37"/>
      <c r="G25" s="27"/>
      <c r="H25" s="27"/>
      <c r="I25" s="38"/>
      <c r="J25" s="39"/>
      <c r="K25" s="40"/>
      <c r="L25" s="41"/>
      <c r="M25" s="31"/>
    </row>
    <row r="26" spans="1:13" ht="24.75">
      <c r="A26" s="32">
        <v>4.01</v>
      </c>
      <c r="B26" s="58" t="s">
        <v>380</v>
      </c>
      <c r="C26" s="34" t="s">
        <v>38</v>
      </c>
      <c r="D26" s="35">
        <v>1576</v>
      </c>
      <c r="E26" s="48">
        <f>472634.12/D26</f>
        <v>299.89474619289342</v>
      </c>
      <c r="F26" s="37">
        <f>D26*E26</f>
        <v>472634.12000000005</v>
      </c>
      <c r="G26" s="27"/>
      <c r="H26" s="27">
        <v>1576</v>
      </c>
      <c r="I26" s="38">
        <f>G26+H26</f>
        <v>1576</v>
      </c>
      <c r="J26" s="460">
        <f>H26/D26</f>
        <v>1</v>
      </c>
      <c r="K26" s="40"/>
      <c r="L26" s="41">
        <f>H26*E26</f>
        <v>472634.12000000005</v>
      </c>
      <c r="M26" s="31"/>
    </row>
    <row r="27" spans="1:13">
      <c r="A27" s="32">
        <v>4.0199999999999996</v>
      </c>
      <c r="B27" s="58" t="s">
        <v>381</v>
      </c>
      <c r="C27" s="34" t="s">
        <v>222</v>
      </c>
      <c r="D27" s="35">
        <v>667</v>
      </c>
      <c r="E27" s="48">
        <v>20</v>
      </c>
      <c r="F27" s="37">
        <f>D27*E27</f>
        <v>13340</v>
      </c>
      <c r="G27" s="27"/>
      <c r="H27" s="27"/>
      <c r="I27" s="38"/>
      <c r="J27" s="39"/>
      <c r="K27" s="40"/>
      <c r="L27" s="63"/>
      <c r="M27" s="64"/>
    </row>
    <row r="28" spans="1:13" ht="24.75">
      <c r="A28" s="32">
        <v>4.03</v>
      </c>
      <c r="B28" s="58" t="s">
        <v>382</v>
      </c>
      <c r="C28" s="34" t="s">
        <v>45</v>
      </c>
      <c r="D28" s="35">
        <v>66.7</v>
      </c>
      <c r="E28" s="48">
        <v>9600</v>
      </c>
      <c r="F28" s="37">
        <f>D28*E28</f>
        <v>640320</v>
      </c>
      <c r="G28" s="27"/>
      <c r="H28" s="27"/>
      <c r="I28" s="38"/>
      <c r="J28" s="39"/>
      <c r="K28" s="40"/>
      <c r="L28" s="41"/>
      <c r="M28" s="31"/>
    </row>
    <row r="29" spans="1:13" ht="24.75">
      <c r="A29" s="32">
        <v>4.04</v>
      </c>
      <c r="B29" s="69" t="s">
        <v>383</v>
      </c>
      <c r="C29" s="66" t="s">
        <v>45</v>
      </c>
      <c r="D29" s="67">
        <v>66.7</v>
      </c>
      <c r="E29" s="68">
        <f>840577.82/D29</f>
        <v>12602.366116941528</v>
      </c>
      <c r="F29" s="37">
        <f t="shared" si="0"/>
        <v>840577.82</v>
      </c>
      <c r="G29" s="27"/>
      <c r="H29" s="27"/>
      <c r="I29" s="38"/>
      <c r="J29" s="39"/>
      <c r="K29" s="40"/>
      <c r="L29" s="41"/>
      <c r="M29" s="31"/>
    </row>
    <row r="30" spans="1:13">
      <c r="A30" s="32"/>
      <c r="B30" s="59" t="s">
        <v>384</v>
      </c>
      <c r="C30" s="50"/>
      <c r="D30" s="51"/>
      <c r="E30" s="52"/>
      <c r="F30" s="43">
        <f>SUM(F26:F29)</f>
        <v>1966871.94</v>
      </c>
      <c r="G30" s="27"/>
      <c r="H30" s="27"/>
      <c r="I30" s="38"/>
      <c r="J30" s="39"/>
      <c r="K30" s="40"/>
      <c r="L30" s="63">
        <f>SUM(L26:L29)</f>
        <v>472634.12000000005</v>
      </c>
      <c r="M30" s="31"/>
    </row>
    <row r="31" spans="1:13" ht="24.75">
      <c r="A31" s="46">
        <v>5</v>
      </c>
      <c r="B31" s="59" t="s">
        <v>385</v>
      </c>
      <c r="C31" s="34"/>
      <c r="D31" s="35"/>
      <c r="E31" s="48"/>
      <c r="F31" s="37"/>
      <c r="G31" s="27"/>
      <c r="H31" s="27"/>
      <c r="I31" s="38"/>
      <c r="J31" s="39"/>
      <c r="K31" s="40"/>
      <c r="L31" s="41"/>
      <c r="M31" s="31"/>
    </row>
    <row r="32" spans="1:13">
      <c r="A32" s="32">
        <v>5.01</v>
      </c>
      <c r="B32" s="58" t="s">
        <v>386</v>
      </c>
      <c r="C32" s="34" t="s">
        <v>21</v>
      </c>
      <c r="D32" s="26">
        <v>9</v>
      </c>
      <c r="E32" s="48">
        <v>37444.1</v>
      </c>
      <c r="F32" s="37">
        <f>D32*E32</f>
        <v>336996.89999999997</v>
      </c>
      <c r="G32" s="27"/>
      <c r="H32" s="27">
        <v>9</v>
      </c>
      <c r="I32" s="38">
        <f>G32+H32</f>
        <v>9</v>
      </c>
      <c r="J32" s="460">
        <f>H32/D32</f>
        <v>1</v>
      </c>
      <c r="K32" s="40"/>
      <c r="L32" s="41">
        <f>H32*E32</f>
        <v>336996.89999999997</v>
      </c>
      <c r="M32" s="31"/>
    </row>
    <row r="33" spans="1:13">
      <c r="A33" s="32"/>
      <c r="B33" s="59" t="s">
        <v>387</v>
      </c>
      <c r="C33" s="50"/>
      <c r="D33" s="70"/>
      <c r="E33" s="52"/>
      <c r="F33" s="43">
        <f>F32</f>
        <v>336996.89999999997</v>
      </c>
      <c r="G33" s="27"/>
      <c r="H33" s="27"/>
      <c r="I33" s="38"/>
      <c r="J33" s="39"/>
      <c r="K33" s="40"/>
      <c r="L33" s="63">
        <f>SUM(L32)</f>
        <v>336996.89999999997</v>
      </c>
      <c r="M33" s="31"/>
    </row>
    <row r="34" spans="1:13" ht="24.75">
      <c r="A34" s="46">
        <v>6</v>
      </c>
      <c r="B34" s="42" t="s">
        <v>388</v>
      </c>
      <c r="C34" s="50"/>
      <c r="D34" s="70"/>
      <c r="E34" s="52"/>
      <c r="F34" s="37"/>
      <c r="G34" s="27"/>
      <c r="H34" s="27"/>
      <c r="I34" s="38"/>
      <c r="J34" s="39"/>
      <c r="K34" s="71"/>
      <c r="L34" s="72"/>
      <c r="M34" s="45"/>
    </row>
    <row r="35" spans="1:13" ht="48.75">
      <c r="A35" s="53">
        <v>6.01</v>
      </c>
      <c r="B35" s="33" t="s">
        <v>389</v>
      </c>
      <c r="C35" s="34" t="s">
        <v>55</v>
      </c>
      <c r="D35" s="26">
        <v>1</v>
      </c>
      <c r="E35" s="48">
        <v>85000</v>
      </c>
      <c r="F35" s="37">
        <f t="shared" si="0"/>
        <v>85000</v>
      </c>
      <c r="G35" s="27"/>
      <c r="H35" s="27">
        <v>1</v>
      </c>
      <c r="I35" s="38">
        <f>G35+H35</f>
        <v>1</v>
      </c>
      <c r="J35" s="460">
        <f>H35/D35</f>
        <v>1</v>
      </c>
      <c r="K35" s="40"/>
      <c r="L35" s="41">
        <f>H35*E35</f>
        <v>85000</v>
      </c>
      <c r="M35" s="31"/>
    </row>
    <row r="36" spans="1:13">
      <c r="A36" s="32">
        <v>6.02</v>
      </c>
      <c r="B36" s="33" t="s">
        <v>152</v>
      </c>
      <c r="C36" s="34" t="s">
        <v>45</v>
      </c>
      <c r="D36" s="26">
        <v>26.4</v>
      </c>
      <c r="E36" s="48">
        <f>7162.23/D36</f>
        <v>271.29659090909092</v>
      </c>
      <c r="F36" s="37">
        <f>E36*D36</f>
        <v>7162.23</v>
      </c>
      <c r="G36" s="27"/>
      <c r="H36" s="27">
        <v>26.4</v>
      </c>
      <c r="I36" s="38">
        <f>G36+H36</f>
        <v>26.4</v>
      </c>
      <c r="J36" s="460">
        <f>H36/D36</f>
        <v>1</v>
      </c>
      <c r="K36" s="40"/>
      <c r="L36" s="41"/>
      <c r="M36" s="31"/>
    </row>
    <row r="37" spans="1:13">
      <c r="A37" s="32">
        <v>6.03</v>
      </c>
      <c r="B37" s="33" t="s">
        <v>255</v>
      </c>
      <c r="C37" s="34" t="s">
        <v>45</v>
      </c>
      <c r="D37" s="26">
        <v>1.7</v>
      </c>
      <c r="E37" s="48">
        <f>3911.13/D37</f>
        <v>2300.6647058823532</v>
      </c>
      <c r="F37" s="37">
        <f t="shared" si="0"/>
        <v>3911.1300000000006</v>
      </c>
      <c r="G37" s="27"/>
      <c r="H37" s="27">
        <v>1.7</v>
      </c>
      <c r="I37" s="38">
        <f>G37+H37</f>
        <v>1.7</v>
      </c>
      <c r="J37" s="460">
        <f>H37/D37</f>
        <v>1</v>
      </c>
      <c r="K37" s="40"/>
      <c r="L37" s="41">
        <f>H37*E37</f>
        <v>3911.1300000000006</v>
      </c>
      <c r="M37" s="31"/>
    </row>
    <row r="38" spans="1:13">
      <c r="A38" s="73">
        <v>6.04</v>
      </c>
      <c r="B38" s="33" t="s">
        <v>47</v>
      </c>
      <c r="C38" s="34" t="s">
        <v>45</v>
      </c>
      <c r="D38" s="57">
        <v>2.21</v>
      </c>
      <c r="E38" s="36">
        <v>413</v>
      </c>
      <c r="F38" s="37">
        <f t="shared" si="0"/>
        <v>912.73</v>
      </c>
      <c r="G38" s="27"/>
      <c r="H38" s="27">
        <v>2.21</v>
      </c>
      <c r="I38" s="38">
        <f>G38+H38</f>
        <v>2.21</v>
      </c>
      <c r="J38" s="460">
        <f>H38/D38</f>
        <v>1</v>
      </c>
      <c r="K38" s="72"/>
      <c r="L38" s="41">
        <f>H38*E38</f>
        <v>912.73</v>
      </c>
      <c r="M38" s="76"/>
    </row>
    <row r="39" spans="1:13" ht="24.75">
      <c r="A39" s="73">
        <v>6.05</v>
      </c>
      <c r="B39" s="58" t="s">
        <v>48</v>
      </c>
      <c r="C39" s="77" t="s">
        <v>45</v>
      </c>
      <c r="D39" s="78">
        <v>23.47</v>
      </c>
      <c r="E39" s="79">
        <f>1754.07/D39</f>
        <v>74.736685129953131</v>
      </c>
      <c r="F39" s="37">
        <f t="shared" si="0"/>
        <v>1754.07</v>
      </c>
      <c r="G39" s="27"/>
      <c r="H39" s="27">
        <v>23.47</v>
      </c>
      <c r="I39" s="38">
        <f>G39+H39</f>
        <v>23.47</v>
      </c>
      <c r="J39" s="460">
        <f>H39/D39</f>
        <v>1</v>
      </c>
      <c r="K39" s="72"/>
      <c r="L39" s="41">
        <f>H39*E39</f>
        <v>1754.07</v>
      </c>
      <c r="M39" s="31"/>
    </row>
    <row r="40" spans="1:13">
      <c r="A40" s="73"/>
      <c r="B40" s="59" t="s">
        <v>39</v>
      </c>
      <c r="C40" s="77"/>
      <c r="D40" s="78"/>
      <c r="E40" s="79"/>
      <c r="F40" s="43">
        <f>SUM(F35:F39)</f>
        <v>98740.160000000003</v>
      </c>
      <c r="G40" s="27"/>
      <c r="H40" s="27"/>
      <c r="I40" s="74"/>
      <c r="J40" s="75"/>
      <c r="K40" s="72"/>
      <c r="L40" s="63">
        <f>SUM(L35:L39)</f>
        <v>91577.930000000008</v>
      </c>
      <c r="M40" s="31"/>
    </row>
    <row r="41" spans="1:13">
      <c r="A41" s="7"/>
      <c r="B41" s="91" t="s">
        <v>73</v>
      </c>
      <c r="C41" s="7"/>
      <c r="D41" s="7"/>
      <c r="E41" s="92"/>
      <c r="F41" s="93">
        <f>F40+F33+F30+F21+F15+F24+0.01</f>
        <v>9962546.7300000004</v>
      </c>
      <c r="G41" s="7"/>
      <c r="H41" s="7"/>
      <c r="I41" s="7"/>
      <c r="J41" s="7"/>
      <c r="K41" s="94"/>
      <c r="L41" s="95">
        <f>L15+L21+L24+L30+L33+L40</f>
        <v>7963419.5388060147</v>
      </c>
      <c r="M41" s="96"/>
    </row>
    <row r="42" spans="1:13">
      <c r="A42" s="7"/>
      <c r="B42" s="10"/>
      <c r="C42" s="7"/>
      <c r="D42" s="7"/>
      <c r="E42" s="92"/>
      <c r="F42" s="462"/>
      <c r="G42" s="7"/>
      <c r="H42" s="7"/>
      <c r="I42" s="7"/>
      <c r="J42" s="7"/>
      <c r="K42" s="97"/>
      <c r="L42" s="96"/>
      <c r="M42" s="96"/>
    </row>
    <row r="43" spans="1:13">
      <c r="A43" s="116"/>
      <c r="B43" s="91"/>
      <c r="C43" s="117"/>
      <c r="D43" s="117"/>
      <c r="E43" s="98"/>
      <c r="F43" s="118"/>
      <c r="G43" s="119"/>
      <c r="H43" s="120"/>
      <c r="I43" s="121"/>
      <c r="J43" s="122"/>
      <c r="K43" s="123"/>
      <c r="L43" s="124"/>
      <c r="M43" s="125"/>
    </row>
    <row r="44" spans="1:13">
      <c r="A44" s="116"/>
      <c r="B44" s="10"/>
      <c r="C44" s="7"/>
      <c r="D44" s="7"/>
      <c r="E44" s="98"/>
      <c r="F44" s="118"/>
      <c r="G44" s="119"/>
      <c r="H44" s="120"/>
      <c r="I44" s="121"/>
      <c r="J44" s="122"/>
      <c r="K44" s="123"/>
      <c r="L44" s="124"/>
      <c r="M44" s="125"/>
    </row>
    <row r="45" spans="1:13">
      <c r="A45" s="116"/>
      <c r="B45" s="6"/>
      <c r="C45" s="98"/>
      <c r="D45" s="98"/>
      <c r="E45" s="98"/>
      <c r="G45" s="119"/>
      <c r="H45" s="120"/>
      <c r="I45" s="121"/>
      <c r="J45" s="122"/>
      <c r="K45" s="123"/>
      <c r="L45" s="124"/>
      <c r="M45" s="125"/>
    </row>
    <row r="46" spans="1:13">
      <c r="A46" s="116"/>
      <c r="B46" s="6"/>
      <c r="C46" s="98"/>
      <c r="D46" s="98"/>
      <c r="E46" s="98"/>
      <c r="F46" s="118"/>
      <c r="G46" s="119"/>
      <c r="H46" s="120"/>
      <c r="I46" s="121"/>
      <c r="J46" s="122"/>
      <c r="K46" s="123"/>
      <c r="L46" s="124"/>
      <c r="M46" s="125"/>
    </row>
    <row r="47" spans="1:13">
      <c r="A47" s="116"/>
      <c r="B47" s="6"/>
      <c r="C47" s="98"/>
      <c r="D47" s="98"/>
      <c r="E47" s="98"/>
      <c r="F47" s="118"/>
      <c r="G47" s="119"/>
      <c r="H47" s="120"/>
      <c r="I47" s="121"/>
      <c r="J47" s="122"/>
      <c r="K47" s="123"/>
      <c r="L47" s="124"/>
      <c r="M47" s="125"/>
    </row>
    <row r="48" spans="1:13">
      <c r="A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>
      <c r="A51" s="2"/>
      <c r="B51" s="1162" t="s">
        <v>86</v>
      </c>
      <c r="C51" s="1163"/>
      <c r="D51" s="1163"/>
      <c r="E51" s="1163"/>
      <c r="F51" s="1163"/>
      <c r="G51" s="1163"/>
      <c r="H51" s="1163"/>
      <c r="I51" s="1163"/>
      <c r="J51" s="1163"/>
      <c r="K51" s="1164"/>
      <c r="L51" s="10"/>
      <c r="M51" s="10"/>
    </row>
    <row r="52" spans="1:13">
      <c r="A52" s="2"/>
      <c r="B52" s="1079" t="s">
        <v>1</v>
      </c>
      <c r="C52" s="1079"/>
      <c r="D52" s="1079"/>
      <c r="E52" s="1079"/>
      <c r="F52" s="1079"/>
      <c r="G52" s="1079"/>
      <c r="H52" s="1079"/>
      <c r="I52" s="1079"/>
      <c r="J52" s="1079"/>
      <c r="K52" s="1079"/>
      <c r="L52" s="128"/>
      <c r="M52" s="129" t="s">
        <v>87</v>
      </c>
    </row>
    <row r="53" spans="1:13">
      <c r="A53" s="7"/>
      <c r="B53" s="130" t="s">
        <v>88</v>
      </c>
      <c r="C53" s="1086" t="s">
        <v>390</v>
      </c>
      <c r="D53" s="1086"/>
      <c r="E53" s="1086"/>
      <c r="F53" s="1086"/>
      <c r="G53" s="1086"/>
      <c r="H53" s="1086"/>
      <c r="I53" s="1086"/>
      <c r="J53" s="7"/>
      <c r="K53" s="7"/>
      <c r="L53" s="5" t="s">
        <v>5</v>
      </c>
      <c r="M53" s="131" t="s">
        <v>369</v>
      </c>
    </row>
    <row r="54" spans="1:13">
      <c r="A54" s="7"/>
      <c r="B54" s="5" t="s">
        <v>7</v>
      </c>
      <c r="C54" s="9">
        <v>1</v>
      </c>
      <c r="D54" s="7"/>
      <c r="E54" s="10"/>
      <c r="F54" s="10"/>
      <c r="G54" s="10"/>
      <c r="H54" s="7"/>
      <c r="I54" s="7"/>
      <c r="J54" s="7"/>
      <c r="K54" s="7"/>
      <c r="L54" s="5" t="s">
        <v>8</v>
      </c>
      <c r="M54" s="131">
        <v>2418906.3459999999</v>
      </c>
    </row>
    <row r="55" spans="1:13">
      <c r="A55" s="7"/>
      <c r="B55" s="5" t="s">
        <v>9</v>
      </c>
      <c r="C55" s="10" t="s">
        <v>370</v>
      </c>
      <c r="D55" s="10"/>
      <c r="E55" s="10"/>
      <c r="F55" s="10"/>
      <c r="G55" s="11"/>
      <c r="H55" s="7"/>
      <c r="I55" s="7"/>
      <c r="J55" s="7"/>
      <c r="K55" s="7"/>
      <c r="L55" s="5" t="s">
        <v>12</v>
      </c>
      <c r="M55" s="132" t="s">
        <v>371</v>
      </c>
    </row>
    <row r="56" spans="1:13">
      <c r="A56" s="7"/>
      <c r="B56" s="5" t="s">
        <v>14</v>
      </c>
      <c r="C56" s="10" t="s">
        <v>372</v>
      </c>
      <c r="D56" s="10"/>
      <c r="E56" s="10"/>
      <c r="F56" s="10"/>
      <c r="G56" s="10"/>
      <c r="H56" s="7"/>
      <c r="I56" s="7"/>
      <c r="J56" s="7"/>
      <c r="K56" s="7"/>
      <c r="L56" s="7"/>
      <c r="M56" s="7"/>
    </row>
    <row r="57" spans="1:13">
      <c r="A57" s="7"/>
      <c r="B57" s="5"/>
      <c r="C57" s="10"/>
      <c r="D57" s="10"/>
      <c r="E57" s="1085" t="s">
        <v>90</v>
      </c>
      <c r="F57" s="1085"/>
      <c r="G57" s="133"/>
      <c r="H57" s="1087" t="s">
        <v>25</v>
      </c>
      <c r="I57" s="1087"/>
      <c r="J57" s="1085" t="s">
        <v>26</v>
      </c>
      <c r="K57" s="1085"/>
      <c r="L57" s="1085" t="s">
        <v>27</v>
      </c>
      <c r="M57" s="1085"/>
    </row>
    <row r="58" spans="1:13">
      <c r="A58" s="7"/>
      <c r="B58" s="1085" t="s">
        <v>391</v>
      </c>
      <c r="C58" s="1085"/>
      <c r="D58" s="1085"/>
      <c r="E58" s="1088">
        <f>F41</f>
        <v>9962546.7300000004</v>
      </c>
      <c r="F58" s="1088"/>
      <c r="G58" s="95"/>
      <c r="H58" s="1088"/>
      <c r="I58" s="1088"/>
      <c r="J58" s="1088">
        <f>L41</f>
        <v>7963419.5388060147</v>
      </c>
      <c r="K58" s="1088"/>
      <c r="L58" s="1089"/>
      <c r="M58" s="1089"/>
    </row>
    <row r="59" spans="1:13">
      <c r="A59" s="7"/>
      <c r="B59" s="9" t="s">
        <v>92</v>
      </c>
      <c r="C59" s="10"/>
      <c r="D59" s="10"/>
      <c r="E59" s="97"/>
      <c r="F59" s="97"/>
      <c r="G59" s="97"/>
      <c r="H59" s="1090"/>
      <c r="I59" s="1090"/>
      <c r="J59" s="136"/>
      <c r="K59" s="136"/>
      <c r="L59" s="136"/>
      <c r="M59" s="136"/>
    </row>
    <row r="60" spans="1:13">
      <c r="A60" s="7"/>
      <c r="B60" s="9" t="s">
        <v>93</v>
      </c>
      <c r="C60" s="10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3">
      <c r="A61" s="138"/>
      <c r="B61" s="9" t="s">
        <v>94</v>
      </c>
      <c r="C61" s="139"/>
      <c r="D61" s="139"/>
      <c r="E61" s="1091"/>
      <c r="F61" s="1091"/>
      <c r="G61" s="141"/>
      <c r="H61" s="1091"/>
      <c r="I61" s="1091"/>
      <c r="J61" s="97"/>
      <c r="K61" s="97"/>
      <c r="L61" s="1091"/>
      <c r="M61" s="1091"/>
    </row>
    <row r="62" spans="1:13">
      <c r="A62" s="138"/>
      <c r="B62" s="10" t="s">
        <v>95</v>
      </c>
      <c r="C62" s="139"/>
      <c r="D62" s="142">
        <v>3.5000000000000003E-2</v>
      </c>
      <c r="E62" s="1091">
        <f>D62*E58</f>
        <v>348689.13555000006</v>
      </c>
      <c r="F62" s="1091"/>
      <c r="G62" s="141"/>
      <c r="H62" s="1092"/>
      <c r="I62" s="1092"/>
      <c r="J62" s="1093">
        <f>J58*D62</f>
        <v>278719.68385821051</v>
      </c>
      <c r="K62" s="1093"/>
      <c r="L62" s="1093">
        <f>H62+J62</f>
        <v>278719.68385821051</v>
      </c>
      <c r="M62" s="1093"/>
    </row>
    <row r="63" spans="1:13">
      <c r="A63" s="138"/>
      <c r="B63" s="10" t="s">
        <v>96</v>
      </c>
      <c r="C63" s="139"/>
      <c r="D63" s="144">
        <v>0.1</v>
      </c>
      <c r="E63" s="1091">
        <f>D63*E58</f>
        <v>996254.67300000007</v>
      </c>
      <c r="F63" s="1091"/>
      <c r="G63" s="141"/>
      <c r="H63" s="1092"/>
      <c r="I63" s="1092"/>
      <c r="J63" s="1093">
        <f>J58*D63</f>
        <v>796341.95388060156</v>
      </c>
      <c r="K63" s="1093"/>
      <c r="L63" s="1093">
        <f t="shared" ref="L63:L68" si="1">H63+J63</f>
        <v>796341.95388060156</v>
      </c>
      <c r="M63" s="1093"/>
    </row>
    <row r="64" spans="1:13">
      <c r="A64" s="138"/>
      <c r="B64" s="10" t="s">
        <v>97</v>
      </c>
      <c r="C64" s="139"/>
      <c r="D64" s="144">
        <v>0.18</v>
      </c>
      <c r="E64" s="1091">
        <f>D64*E63</f>
        <v>179325.84114</v>
      </c>
      <c r="F64" s="1091"/>
      <c r="G64" s="141"/>
      <c r="H64" s="1092"/>
      <c r="I64" s="1092"/>
      <c r="J64" s="1093">
        <f>J63*D64</f>
        <v>143341.55169850826</v>
      </c>
      <c r="K64" s="1093"/>
      <c r="L64" s="1093">
        <f t="shared" si="1"/>
        <v>143341.55169850826</v>
      </c>
      <c r="M64" s="1093"/>
    </row>
    <row r="65" spans="1:13">
      <c r="A65" s="138"/>
      <c r="B65" s="10" t="s">
        <v>98</v>
      </c>
      <c r="C65" s="144"/>
      <c r="D65" s="145">
        <v>0.03</v>
      </c>
      <c r="E65" s="1091">
        <f>D65*E58</f>
        <v>298876.4019</v>
      </c>
      <c r="F65" s="1091"/>
      <c r="G65" s="141"/>
      <c r="H65" s="1092"/>
      <c r="I65" s="1092"/>
      <c r="J65" s="1093">
        <f>J58*D65</f>
        <v>238902.58616418042</v>
      </c>
      <c r="K65" s="1093"/>
      <c r="L65" s="1093">
        <f t="shared" si="1"/>
        <v>238902.58616418042</v>
      </c>
      <c r="M65" s="1093"/>
    </row>
    <row r="66" spans="1:13">
      <c r="A66" s="138"/>
      <c r="B66" s="10" t="s">
        <v>99</v>
      </c>
      <c r="C66" s="139"/>
      <c r="D66" s="139">
        <v>0.02</v>
      </c>
      <c r="E66" s="1091">
        <f>D66*E58</f>
        <v>199250.93460000001</v>
      </c>
      <c r="F66" s="1091"/>
      <c r="G66" s="141"/>
      <c r="H66" s="1092"/>
      <c r="I66" s="1092"/>
      <c r="J66" s="1093">
        <f>J58*D66</f>
        <v>159268.3907761203</v>
      </c>
      <c r="K66" s="1093"/>
      <c r="L66" s="1093">
        <f t="shared" si="1"/>
        <v>159268.3907761203</v>
      </c>
      <c r="M66" s="1093"/>
    </row>
    <row r="67" spans="1:13">
      <c r="A67" s="138"/>
      <c r="B67" s="10" t="s">
        <v>100</v>
      </c>
      <c r="C67" s="139"/>
      <c r="D67" s="144">
        <v>0.01</v>
      </c>
      <c r="E67" s="1091">
        <f>D67*E58</f>
        <v>99625.467300000004</v>
      </c>
      <c r="F67" s="1091"/>
      <c r="G67" s="141"/>
      <c r="H67" s="1092"/>
      <c r="I67" s="1092"/>
      <c r="J67" s="1093">
        <f>J58*D67</f>
        <v>79634.19538806015</v>
      </c>
      <c r="K67" s="1093"/>
      <c r="L67" s="1093">
        <f t="shared" si="1"/>
        <v>79634.19538806015</v>
      </c>
      <c r="M67" s="1093"/>
    </row>
    <row r="68" spans="1:13">
      <c r="A68" s="138"/>
      <c r="B68" s="10" t="s">
        <v>101</v>
      </c>
      <c r="C68" s="139"/>
      <c r="D68" s="139">
        <v>1E-3</v>
      </c>
      <c r="E68" s="1091">
        <f>D68*E58</f>
        <v>9962.54673</v>
      </c>
      <c r="F68" s="1091"/>
      <c r="G68" s="141"/>
      <c r="H68" s="1092"/>
      <c r="I68" s="1092"/>
      <c r="J68" s="1093">
        <f>J58*D68</f>
        <v>7963.4195388060152</v>
      </c>
      <c r="K68" s="1093"/>
      <c r="L68" s="1093">
        <f t="shared" si="1"/>
        <v>7963.4195388060152</v>
      </c>
      <c r="M68" s="1093"/>
    </row>
    <row r="69" spans="1:13">
      <c r="A69" s="138"/>
      <c r="B69" s="10"/>
      <c r="C69" s="139"/>
      <c r="D69" s="144"/>
      <c r="E69" s="1091"/>
      <c r="F69" s="1091"/>
      <c r="G69" s="141"/>
      <c r="H69" s="146"/>
      <c r="I69" s="146"/>
      <c r="J69" s="146"/>
      <c r="K69" s="146"/>
      <c r="L69" s="146"/>
      <c r="M69" s="147"/>
    </row>
    <row r="70" spans="1:13">
      <c r="A70" s="138"/>
      <c r="B70" s="10"/>
      <c r="C70" s="148"/>
      <c r="D70" s="144"/>
      <c r="E70" s="1091"/>
      <c r="F70" s="1091"/>
      <c r="G70" s="141"/>
      <c r="H70" s="1094"/>
      <c r="I70" s="1094"/>
      <c r="J70" s="1095"/>
      <c r="K70" s="1095"/>
      <c r="L70" s="1094"/>
      <c r="M70" s="1094"/>
    </row>
    <row r="71" spans="1:13">
      <c r="A71" s="138"/>
      <c r="B71" s="10"/>
      <c r="C71" s="148"/>
      <c r="D71" s="151"/>
      <c r="E71" s="1091"/>
      <c r="F71" s="1091"/>
      <c r="G71" s="141"/>
      <c r="H71" s="149"/>
      <c r="I71" s="149"/>
      <c r="J71" s="150"/>
      <c r="K71" s="150"/>
      <c r="L71" s="149"/>
      <c r="M71" s="149"/>
    </row>
    <row r="72" spans="1:13">
      <c r="A72" s="138"/>
      <c r="B72" s="10"/>
      <c r="C72" s="148"/>
      <c r="D72" s="144"/>
      <c r="E72" s="1091"/>
      <c r="F72" s="1091"/>
      <c r="G72" s="141"/>
      <c r="H72" s="149"/>
      <c r="I72" s="149"/>
      <c r="J72" s="150"/>
      <c r="K72" s="150"/>
      <c r="L72" s="149"/>
      <c r="M72" s="149"/>
    </row>
    <row r="73" spans="1:13">
      <c r="A73" s="138"/>
      <c r="B73" s="10"/>
      <c r="C73" s="148"/>
      <c r="D73" s="144"/>
      <c r="E73" s="140"/>
      <c r="F73" s="140"/>
      <c r="G73" s="141"/>
      <c r="H73" s="149"/>
      <c r="I73" s="149"/>
      <c r="J73" s="150"/>
      <c r="K73" s="150"/>
      <c r="L73" s="149"/>
      <c r="M73" s="149"/>
    </row>
    <row r="74" spans="1:13">
      <c r="A74" s="138"/>
      <c r="B74" s="152" t="s">
        <v>183</v>
      </c>
      <c r="C74" s="144"/>
      <c r="D74" s="127"/>
      <c r="E74" s="1096">
        <f>SUM(E62:F70)</f>
        <v>2131985.0002200003</v>
      </c>
      <c r="F74" s="1096"/>
      <c r="G74" s="154"/>
      <c r="H74" s="1096"/>
      <c r="I74" s="1096"/>
      <c r="J74" s="1088">
        <f>SUM(J62:K68)</f>
        <v>1704171.781304487</v>
      </c>
      <c r="K74" s="1088"/>
      <c r="L74" s="1093">
        <f t="shared" ref="L74" si="2">H74+J74</f>
        <v>1704171.781304487</v>
      </c>
      <c r="M74" s="1093"/>
    </row>
    <row r="75" spans="1:13">
      <c r="A75" s="138"/>
      <c r="B75" s="10"/>
      <c r="C75" s="155"/>
      <c r="D75" s="156"/>
      <c r="E75" s="1094"/>
      <c r="F75" s="1094"/>
      <c r="G75" s="141"/>
      <c r="H75" s="1095"/>
      <c r="I75" s="1095"/>
      <c r="J75" s="1095"/>
      <c r="K75" s="1095"/>
      <c r="L75" s="1094"/>
      <c r="M75" s="1094"/>
    </row>
    <row r="76" spans="1:13">
      <c r="A76" s="138"/>
      <c r="B76" s="157" t="s">
        <v>105</v>
      </c>
      <c r="C76" s="158"/>
      <c r="D76" s="159"/>
      <c r="E76" s="1096">
        <f>E58+E74</f>
        <v>12094531.730220001</v>
      </c>
      <c r="F76" s="1096"/>
      <c r="G76" s="160"/>
      <c r="H76" s="1096"/>
      <c r="I76" s="1096"/>
      <c r="J76" s="1165">
        <f>J74+J58</f>
        <v>9667591.3201105017</v>
      </c>
      <c r="K76" s="1165"/>
      <c r="L76" s="1093">
        <f t="shared" ref="L76" si="3">H76+J76</f>
        <v>9667591.3201105017</v>
      </c>
      <c r="M76" s="1093"/>
    </row>
    <row r="77" spans="1:13">
      <c r="A77" s="7"/>
      <c r="B77" s="161" t="s">
        <v>106</v>
      </c>
      <c r="C77" s="144"/>
      <c r="E77" s="136"/>
      <c r="F77" s="136"/>
      <c r="G77" s="136"/>
      <c r="H77" s="136"/>
      <c r="I77" s="136"/>
      <c r="J77" s="136"/>
      <c r="K77" s="136"/>
      <c r="L77" s="136"/>
      <c r="M77" s="136"/>
    </row>
    <row r="78" spans="1:13">
      <c r="A78" s="7"/>
      <c r="B78" s="10"/>
      <c r="C78" s="7"/>
      <c r="D78" s="144"/>
      <c r="E78" s="136"/>
      <c r="F78" s="97"/>
      <c r="G78" s="136"/>
      <c r="H78" s="1097"/>
      <c r="I78" s="1097"/>
      <c r="J78" s="1097"/>
      <c r="K78" s="1097"/>
      <c r="L78" s="1097"/>
      <c r="M78" s="1097"/>
    </row>
    <row r="79" spans="1:13">
      <c r="A79" s="7"/>
      <c r="B79" s="9"/>
      <c r="C79" s="159"/>
      <c r="D79" s="139"/>
      <c r="E79" s="136"/>
      <c r="F79" s="136"/>
      <c r="G79" s="136"/>
      <c r="H79" s="1097"/>
      <c r="I79" s="1097"/>
      <c r="J79" s="1097"/>
      <c r="K79" s="1097"/>
      <c r="L79" s="1097"/>
      <c r="M79" s="1097"/>
    </row>
    <row r="80" spans="1:13">
      <c r="A80" s="7"/>
      <c r="B80" s="9" t="s">
        <v>107</v>
      </c>
      <c r="C80" s="159"/>
      <c r="D80" s="163">
        <v>0.2</v>
      </c>
      <c r="E80" s="135"/>
      <c r="F80" s="135"/>
      <c r="G80" s="135"/>
      <c r="H80" s="1091"/>
      <c r="I80" s="1091"/>
      <c r="J80" s="1097">
        <f>J76*D80</f>
        <v>1933518.2640221005</v>
      </c>
      <c r="K80" s="1097"/>
      <c r="L80" s="1093">
        <f t="shared" ref="L80" si="4">H80+J80</f>
        <v>1933518.2640221005</v>
      </c>
      <c r="M80" s="1093"/>
    </row>
    <row r="81" spans="1:13">
      <c r="A81" s="7"/>
      <c r="E81" s="135"/>
      <c r="F81" s="135"/>
      <c r="G81" s="135"/>
      <c r="H81" s="1091"/>
      <c r="I81" s="1091"/>
      <c r="J81" s="1097"/>
      <c r="K81" s="1097"/>
      <c r="L81" s="1097"/>
      <c r="M81" s="1097"/>
    </row>
    <row r="82" spans="1:13">
      <c r="A82" s="7"/>
      <c r="E82" s="135"/>
      <c r="F82" s="135"/>
      <c r="G82" s="135"/>
      <c r="H82" s="164"/>
      <c r="I82" s="136"/>
      <c r="J82" s="135"/>
      <c r="K82" s="150"/>
      <c r="L82" s="150"/>
      <c r="M82" s="150"/>
    </row>
    <row r="83" spans="1:13">
      <c r="A83" s="7"/>
      <c r="B83" s="9" t="s">
        <v>108</v>
      </c>
      <c r="C83" s="159"/>
      <c r="D83" s="159"/>
      <c r="E83" s="135"/>
      <c r="F83" s="135"/>
      <c r="G83" s="135"/>
      <c r="H83" s="1091"/>
      <c r="I83" s="1091"/>
      <c r="J83" s="1098">
        <f>J76-J80</f>
        <v>7734073.056088401</v>
      </c>
      <c r="K83" s="1098"/>
      <c r="L83" s="1093">
        <f t="shared" ref="L83" si="5">H83+J83</f>
        <v>7734073.056088401</v>
      </c>
      <c r="M83" s="1093"/>
    </row>
    <row r="84" spans="1:13">
      <c r="A84" s="7"/>
      <c r="B84" s="9"/>
      <c r="C84" s="159"/>
      <c r="D84" s="159"/>
      <c r="E84" s="159"/>
      <c r="F84" s="159"/>
      <c r="G84" s="159"/>
      <c r="H84" s="165"/>
      <c r="I84" s="166"/>
      <c r="J84" s="167"/>
      <c r="K84" s="168"/>
      <c r="L84" s="168"/>
      <c r="M84" s="169"/>
    </row>
    <row r="85" spans="1:13">
      <c r="A85" s="127"/>
      <c r="B85" s="9"/>
      <c r="C85" s="1085" t="s">
        <v>109</v>
      </c>
      <c r="D85" s="1085"/>
      <c r="E85" s="1085"/>
      <c r="F85" s="127"/>
      <c r="G85" s="1085" t="s">
        <v>110</v>
      </c>
      <c r="H85" s="1085"/>
      <c r="I85" s="1085"/>
      <c r="J85" s="127"/>
      <c r="K85" s="1085" t="s">
        <v>111</v>
      </c>
      <c r="L85" s="1085"/>
      <c r="M85" s="127"/>
    </row>
    <row r="86" spans="1:13">
      <c r="A86" s="127"/>
      <c r="B86" s="9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</row>
    <row r="87" spans="1:13">
      <c r="A87" s="127"/>
      <c r="B87" s="127"/>
      <c r="C87" s="127"/>
      <c r="D87" s="127" t="s">
        <v>112</v>
      </c>
      <c r="E87" s="127"/>
      <c r="F87" s="127"/>
      <c r="G87" s="127"/>
      <c r="H87" s="127" t="s">
        <v>113</v>
      </c>
      <c r="I87" s="127"/>
      <c r="J87" s="127"/>
      <c r="K87" s="143" t="s">
        <v>114</v>
      </c>
      <c r="L87" s="143"/>
    </row>
    <row r="88" spans="1:13">
      <c r="B88" s="127"/>
      <c r="C88" s="127"/>
      <c r="D88" s="127" t="s">
        <v>115</v>
      </c>
      <c r="E88" s="127"/>
      <c r="F88" s="127"/>
      <c r="G88" s="127"/>
      <c r="H88" s="127" t="s">
        <v>116</v>
      </c>
      <c r="I88" s="127"/>
      <c r="J88" s="127"/>
      <c r="K88" s="127" t="s">
        <v>117</v>
      </c>
      <c r="L88" s="127"/>
      <c r="M88" s="159"/>
    </row>
  </sheetData>
  <mergeCells count="87">
    <mergeCell ref="C85:E85"/>
    <mergeCell ref="G85:I85"/>
    <mergeCell ref="K85:L85"/>
    <mergeCell ref="H81:I81"/>
    <mergeCell ref="J81:K81"/>
    <mergeCell ref="L81:M81"/>
    <mergeCell ref="H83:I83"/>
    <mergeCell ref="J83:K83"/>
    <mergeCell ref="L83:M83"/>
    <mergeCell ref="H79:I79"/>
    <mergeCell ref="J79:K79"/>
    <mergeCell ref="L79:M79"/>
    <mergeCell ref="H80:I80"/>
    <mergeCell ref="J80:K80"/>
    <mergeCell ref="L80:M80"/>
    <mergeCell ref="E76:F76"/>
    <mergeCell ref="H76:I76"/>
    <mergeCell ref="J76:K76"/>
    <mergeCell ref="L76:M76"/>
    <mergeCell ref="H78:I78"/>
    <mergeCell ref="J78:K78"/>
    <mergeCell ref="L78:M78"/>
    <mergeCell ref="E75:F75"/>
    <mergeCell ref="H75:I75"/>
    <mergeCell ref="J75:K75"/>
    <mergeCell ref="L75:M75"/>
    <mergeCell ref="E69:F69"/>
    <mergeCell ref="E70:F70"/>
    <mergeCell ref="H70:I70"/>
    <mergeCell ref="J70:K70"/>
    <mergeCell ref="L70:M70"/>
    <mergeCell ref="E71:F71"/>
    <mergeCell ref="E72:F72"/>
    <mergeCell ref="E74:F74"/>
    <mergeCell ref="H74:I74"/>
    <mergeCell ref="J74:K74"/>
    <mergeCell ref="L74:M74"/>
    <mergeCell ref="E67:F67"/>
    <mergeCell ref="H67:I67"/>
    <mergeCell ref="J67:K67"/>
    <mergeCell ref="L67:M67"/>
    <mergeCell ref="E68:F68"/>
    <mergeCell ref="H68:I68"/>
    <mergeCell ref="J68:K68"/>
    <mergeCell ref="L68:M68"/>
    <mergeCell ref="E65:F65"/>
    <mergeCell ref="H65:I65"/>
    <mergeCell ref="J65:K65"/>
    <mergeCell ref="L65:M65"/>
    <mergeCell ref="E66:F66"/>
    <mergeCell ref="H66:I66"/>
    <mergeCell ref="J66:K66"/>
    <mergeCell ref="L66:M66"/>
    <mergeCell ref="E63:F63"/>
    <mergeCell ref="H63:I63"/>
    <mergeCell ref="J63:K63"/>
    <mergeCell ref="L63:M63"/>
    <mergeCell ref="E64:F64"/>
    <mergeCell ref="H64:I64"/>
    <mergeCell ref="J64:K64"/>
    <mergeCell ref="L64:M64"/>
    <mergeCell ref="H59:I59"/>
    <mergeCell ref="E61:F61"/>
    <mergeCell ref="H61:I61"/>
    <mergeCell ref="L61:M61"/>
    <mergeCell ref="E62:F62"/>
    <mergeCell ref="H62:I62"/>
    <mergeCell ref="J62:K62"/>
    <mergeCell ref="L62:M62"/>
    <mergeCell ref="L57:M57"/>
    <mergeCell ref="B58:D58"/>
    <mergeCell ref="E58:F58"/>
    <mergeCell ref="H58:I58"/>
    <mergeCell ref="J58:K58"/>
    <mergeCell ref="L58:M58"/>
    <mergeCell ref="B51:K51"/>
    <mergeCell ref="B52:K52"/>
    <mergeCell ref="C53:I53"/>
    <mergeCell ref="E57:F57"/>
    <mergeCell ref="H57:I57"/>
    <mergeCell ref="J57:K57"/>
    <mergeCell ref="A2:M2"/>
    <mergeCell ref="A3:M3"/>
    <mergeCell ref="C5:I5"/>
    <mergeCell ref="A9:F9"/>
    <mergeCell ref="G9:J9"/>
    <mergeCell ref="K9:M9"/>
  </mergeCells>
  <pageMargins left="0.7" right="0.7" top="0.75" bottom="0.75" header="0.3" footer="0.3"/>
  <pageSetup paperSize="5" scale="68" orientation="landscape" horizontalDpi="0" verticalDpi="0" r:id="rId1"/>
  <rowBreaks count="1" manualBreakCount="1">
    <brk id="4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2B25A-9559-43BE-A96E-24F7258CDADF}">
  <sheetPr codeName="Hoja6"/>
  <dimension ref="A1"/>
  <sheetViews>
    <sheetView topLeftCell="A10" workbookViewId="0">
      <selection activeCell="K27" sqref="K27"/>
    </sheetView>
  </sheetViews>
  <sheetFormatPr baseColWidth="10" defaultRowHeight="15"/>
  <sheetData>
    <row r="1" spans="1:1">
      <c r="A1" t="s">
        <v>392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69B9-4DCD-4888-98DB-B2DF1B73E35E}">
  <sheetPr codeName="Hoja7"/>
  <dimension ref="A1:M206"/>
  <sheetViews>
    <sheetView topLeftCell="A159" workbookViewId="0">
      <selection activeCell="L185" sqref="L185:M185"/>
    </sheetView>
  </sheetViews>
  <sheetFormatPr baseColWidth="10" defaultRowHeight="15"/>
  <cols>
    <col min="1" max="1" width="8.28515625" bestFit="1" customWidth="1"/>
    <col min="2" max="2" width="38.85546875" customWidth="1"/>
    <col min="3" max="3" width="16.28515625" customWidth="1"/>
    <col min="4" max="4" width="9.5703125" customWidth="1"/>
    <col min="5" max="5" width="13.7109375" customWidth="1"/>
    <col min="6" max="6" width="15.85546875" bestFit="1" customWidth="1"/>
    <col min="7" max="7" width="13.140625" customWidth="1"/>
    <col min="8" max="8" width="11.85546875" customWidth="1"/>
    <col min="9" max="9" width="12.140625" bestFit="1" customWidth="1"/>
    <col min="10" max="10" width="7.140625" bestFit="1" customWidth="1"/>
    <col min="11" max="11" width="14.42578125" customWidth="1"/>
    <col min="12" max="12" width="13.5703125" customWidth="1"/>
    <col min="13" max="13" width="14.140625" bestFit="1" customWidth="1"/>
  </cols>
  <sheetData>
    <row r="1" spans="1:13">
      <c r="A1" s="1166" t="s">
        <v>0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M1" s="1168"/>
    </row>
    <row r="2" spans="1:13">
      <c r="A2" s="1169" t="s">
        <v>1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1"/>
    </row>
    <row r="3" spans="1:13">
      <c r="A3" s="466"/>
      <c r="B3" s="467" t="s">
        <v>3</v>
      </c>
      <c r="C3" s="1172" t="s">
        <v>275</v>
      </c>
      <c r="D3" s="1172"/>
      <c r="E3" s="1172"/>
      <c r="F3" s="1172"/>
      <c r="G3" s="1172"/>
      <c r="H3" s="1172"/>
      <c r="I3" s="1172"/>
      <c r="J3" s="468"/>
      <c r="K3" s="468"/>
      <c r="L3" s="467" t="s">
        <v>5</v>
      </c>
      <c r="M3" s="469" t="s">
        <v>276</v>
      </c>
    </row>
    <row r="4" spans="1:13">
      <c r="A4" s="466"/>
      <c r="B4" s="467" t="s">
        <v>7</v>
      </c>
      <c r="C4" s="470">
        <v>2</v>
      </c>
      <c r="D4" s="468"/>
      <c r="E4" s="471"/>
      <c r="F4" s="471"/>
      <c r="G4" s="471"/>
      <c r="H4" s="468"/>
      <c r="I4" s="468"/>
      <c r="J4" s="468"/>
      <c r="K4" s="468"/>
      <c r="L4" s="467" t="s">
        <v>8</v>
      </c>
      <c r="M4" s="469">
        <v>3298159.3539999998</v>
      </c>
    </row>
    <row r="5" spans="1:13">
      <c r="A5" s="466"/>
      <c r="B5" s="467" t="s">
        <v>9</v>
      </c>
      <c r="C5" s="471" t="s">
        <v>393</v>
      </c>
      <c r="D5" s="471"/>
      <c r="E5" s="471"/>
      <c r="F5" s="471" t="s">
        <v>11</v>
      </c>
      <c r="G5" s="472"/>
      <c r="H5" s="468"/>
      <c r="I5" s="468"/>
      <c r="J5" s="468"/>
      <c r="K5" s="468"/>
      <c r="L5" s="467" t="s">
        <v>12</v>
      </c>
      <c r="M5" s="473" t="s">
        <v>278</v>
      </c>
    </row>
    <row r="6" spans="1:13">
      <c r="A6" s="466"/>
      <c r="B6" s="467" t="s">
        <v>14</v>
      </c>
      <c r="C6" s="471" t="s">
        <v>279</v>
      </c>
      <c r="D6" s="471"/>
      <c r="E6" s="471"/>
      <c r="F6" s="471"/>
      <c r="G6" s="474"/>
      <c r="H6" s="468"/>
      <c r="I6" s="468"/>
      <c r="J6" s="468"/>
      <c r="K6" s="468"/>
      <c r="L6" s="468"/>
      <c r="M6" s="475"/>
    </row>
    <row r="7" spans="1:13">
      <c r="A7" s="1173" t="s">
        <v>16</v>
      </c>
      <c r="B7" s="1173"/>
      <c r="C7" s="1173"/>
      <c r="D7" s="1173"/>
      <c r="E7" s="1173"/>
      <c r="F7" s="1173"/>
      <c r="G7" s="1174" t="s">
        <v>17</v>
      </c>
      <c r="H7" s="1174"/>
      <c r="I7" s="1174"/>
      <c r="J7" s="1174"/>
      <c r="K7" s="1175" t="s">
        <v>18</v>
      </c>
      <c r="L7" s="1175"/>
      <c r="M7" s="1175"/>
    </row>
    <row r="8" spans="1:13">
      <c r="A8" s="476" t="s">
        <v>19</v>
      </c>
      <c r="B8" s="477" t="s">
        <v>20</v>
      </c>
      <c r="C8" s="477" t="s">
        <v>21</v>
      </c>
      <c r="D8" s="477" t="s">
        <v>22</v>
      </c>
      <c r="E8" s="478" t="s">
        <v>23</v>
      </c>
      <c r="F8" s="478" t="s">
        <v>24</v>
      </c>
      <c r="G8" s="479" t="s">
        <v>25</v>
      </c>
      <c r="H8" s="479" t="s">
        <v>26</v>
      </c>
      <c r="I8" s="480" t="s">
        <v>27</v>
      </c>
      <c r="J8" s="481" t="s">
        <v>28</v>
      </c>
      <c r="K8" s="482" t="s">
        <v>25</v>
      </c>
      <c r="L8" s="483" t="s">
        <v>26</v>
      </c>
      <c r="M8" s="483" t="s">
        <v>27</v>
      </c>
    </row>
    <row r="9" spans="1:13">
      <c r="A9" s="484" t="s">
        <v>29</v>
      </c>
      <c r="B9" s="485" t="s">
        <v>36</v>
      </c>
      <c r="C9" s="486"/>
      <c r="D9" s="487"/>
      <c r="E9" s="488"/>
      <c r="F9" s="488"/>
      <c r="G9" s="489"/>
      <c r="H9" s="489"/>
      <c r="I9" s="490"/>
      <c r="J9" s="491"/>
      <c r="K9" s="492"/>
      <c r="L9" s="493"/>
      <c r="M9" s="493"/>
    </row>
    <row r="10" spans="1:13">
      <c r="A10" s="494">
        <v>1</v>
      </c>
      <c r="B10" s="495" t="s">
        <v>280</v>
      </c>
      <c r="C10" s="496" t="s">
        <v>32</v>
      </c>
      <c r="D10" s="497">
        <v>1</v>
      </c>
      <c r="E10" s="498">
        <v>119638.67</v>
      </c>
      <c r="F10" s="499">
        <f>D10*E10</f>
        <v>119638.67</v>
      </c>
      <c r="G10" s="489"/>
      <c r="H10" s="489">
        <v>1</v>
      </c>
      <c r="I10" s="500">
        <f t="shared" ref="I10:I12" si="0">G10+H10</f>
        <v>1</v>
      </c>
      <c r="J10" s="501">
        <f t="shared" ref="J10:J12" si="1">I10/D10*100</f>
        <v>100</v>
      </c>
      <c r="K10" s="502"/>
      <c r="L10" s="503">
        <f>H10*E10</f>
        <v>119638.67</v>
      </c>
      <c r="M10" s="493">
        <f>K10+L10</f>
        <v>119638.67</v>
      </c>
    </row>
    <row r="11" spans="1:13">
      <c r="A11" s="494">
        <v>1.02</v>
      </c>
      <c r="B11" s="495" t="s">
        <v>281</v>
      </c>
      <c r="C11" s="496" t="s">
        <v>55</v>
      </c>
      <c r="D11" s="504">
        <v>1</v>
      </c>
      <c r="E11" s="498">
        <v>99756</v>
      </c>
      <c r="F11" s="499">
        <f t="shared" ref="F11:F75" si="2">D11*E11</f>
        <v>99756</v>
      </c>
      <c r="G11" s="489">
        <v>1</v>
      </c>
      <c r="H11" s="489"/>
      <c r="I11" s="500">
        <f t="shared" si="0"/>
        <v>1</v>
      </c>
      <c r="J11" s="501">
        <f t="shared" si="1"/>
        <v>100</v>
      </c>
      <c r="K11" s="502">
        <f>G11*E11</f>
        <v>99756</v>
      </c>
      <c r="L11" s="503"/>
      <c r="M11" s="493">
        <f>K11+L11</f>
        <v>99756</v>
      </c>
    </row>
    <row r="12" spans="1:13" ht="23.25">
      <c r="A12" s="494">
        <v>1.03</v>
      </c>
      <c r="B12" s="495" t="s">
        <v>282</v>
      </c>
      <c r="C12" s="496" t="s">
        <v>55</v>
      </c>
      <c r="D12" s="504">
        <v>1</v>
      </c>
      <c r="E12" s="498">
        <v>15096</v>
      </c>
      <c r="F12" s="499">
        <f t="shared" si="2"/>
        <v>15096</v>
      </c>
      <c r="G12" s="489">
        <v>1</v>
      </c>
      <c r="H12" s="489"/>
      <c r="I12" s="500">
        <f t="shared" si="0"/>
        <v>1</v>
      </c>
      <c r="J12" s="501">
        <f t="shared" si="1"/>
        <v>100</v>
      </c>
      <c r="K12" s="502">
        <f>G12*E12</f>
        <v>15096</v>
      </c>
      <c r="L12" s="503"/>
      <c r="M12" s="493">
        <f>K12+L12</f>
        <v>15096</v>
      </c>
    </row>
    <row r="13" spans="1:13" ht="23.25">
      <c r="A13" s="494">
        <v>1.04</v>
      </c>
      <c r="B13" s="495" t="s">
        <v>283</v>
      </c>
      <c r="C13" s="496" t="s">
        <v>55</v>
      </c>
      <c r="D13" s="504">
        <v>1</v>
      </c>
      <c r="E13" s="498">
        <v>35700</v>
      </c>
      <c r="F13" s="499">
        <f t="shared" si="2"/>
        <v>35700</v>
      </c>
      <c r="G13" s="489"/>
      <c r="H13" s="489"/>
      <c r="I13" s="500"/>
      <c r="J13" s="501"/>
      <c r="K13" s="505">
        <f>SUM(K11:K12)</f>
        <v>114852</v>
      </c>
      <c r="L13" s="503"/>
      <c r="M13" s="506">
        <f>L13+K13</f>
        <v>114852</v>
      </c>
    </row>
    <row r="14" spans="1:13">
      <c r="A14" s="494"/>
      <c r="B14" s="507" t="s">
        <v>284</v>
      </c>
      <c r="C14" s="508"/>
      <c r="D14" s="509"/>
      <c r="E14" s="510"/>
      <c r="F14" s="511">
        <f>SUM(F10:F13)</f>
        <v>270190.67</v>
      </c>
      <c r="G14" s="489"/>
      <c r="H14" s="489"/>
      <c r="I14" s="500"/>
      <c r="J14" s="501"/>
      <c r="K14" s="512"/>
      <c r="L14" s="513"/>
      <c r="M14" s="506"/>
    </row>
    <row r="15" spans="1:13">
      <c r="A15" s="514">
        <v>2</v>
      </c>
      <c r="B15" s="515" t="s">
        <v>285</v>
      </c>
      <c r="C15" s="516"/>
      <c r="D15" s="517"/>
      <c r="E15" s="518"/>
      <c r="F15" s="519"/>
      <c r="G15" s="489"/>
      <c r="H15" s="489"/>
      <c r="I15" s="500"/>
      <c r="J15" s="501"/>
      <c r="K15" s="502"/>
      <c r="L15" s="503"/>
      <c r="M15" s="493"/>
    </row>
    <row r="16" spans="1:13">
      <c r="A16" s="494">
        <v>2.0099999999999998</v>
      </c>
      <c r="B16" s="520" t="s">
        <v>44</v>
      </c>
      <c r="C16" s="516" t="s">
        <v>45</v>
      </c>
      <c r="D16" s="517">
        <v>16.25</v>
      </c>
      <c r="E16" s="521">
        <f>10873.51/D16</f>
        <v>669.13907692307691</v>
      </c>
      <c r="F16" s="519">
        <f t="shared" si="2"/>
        <v>10873.51</v>
      </c>
      <c r="G16" s="489"/>
      <c r="H16" s="489"/>
      <c r="I16" s="500"/>
      <c r="J16" s="501"/>
      <c r="K16" s="502"/>
      <c r="L16" s="503"/>
      <c r="M16" s="506"/>
    </row>
    <row r="17" spans="1:13">
      <c r="A17" s="494">
        <v>2.02</v>
      </c>
      <c r="B17" s="520" t="s">
        <v>47</v>
      </c>
      <c r="C17" s="516" t="s">
        <v>45</v>
      </c>
      <c r="D17" s="517">
        <v>21.13</v>
      </c>
      <c r="E17" s="518">
        <v>478</v>
      </c>
      <c r="F17" s="519">
        <f>D17*E17</f>
        <v>10100.14</v>
      </c>
      <c r="G17" s="489"/>
      <c r="H17" s="489"/>
      <c r="I17" s="500"/>
      <c r="J17" s="501"/>
      <c r="K17" s="502"/>
      <c r="L17" s="503"/>
      <c r="M17" s="493"/>
    </row>
    <row r="18" spans="1:13" ht="45.75">
      <c r="A18" s="522">
        <v>2.0299999999999998</v>
      </c>
      <c r="B18" s="520" t="s">
        <v>286</v>
      </c>
      <c r="C18" s="516" t="s">
        <v>52</v>
      </c>
      <c r="D18" s="517">
        <v>1</v>
      </c>
      <c r="E18" s="518">
        <v>179431.83</v>
      </c>
      <c r="F18" s="519">
        <f t="shared" si="2"/>
        <v>179431.83</v>
      </c>
      <c r="G18" s="489"/>
      <c r="H18" s="489"/>
      <c r="I18" s="500"/>
      <c r="J18" s="501"/>
      <c r="K18" s="502"/>
      <c r="L18" s="503"/>
      <c r="M18" s="493"/>
    </row>
    <row r="19" spans="1:13">
      <c r="A19" s="494">
        <v>2.04</v>
      </c>
      <c r="B19" s="520" t="s">
        <v>287</v>
      </c>
      <c r="C19" s="516" t="s">
        <v>288</v>
      </c>
      <c r="D19" s="517">
        <v>12</v>
      </c>
      <c r="E19" s="518">
        <v>5250</v>
      </c>
      <c r="F19" s="519">
        <f t="shared" si="2"/>
        <v>63000</v>
      </c>
      <c r="G19" s="489"/>
      <c r="H19" s="489"/>
      <c r="I19" s="500"/>
      <c r="J19" s="501"/>
      <c r="K19" s="502"/>
      <c r="L19" s="503"/>
      <c r="M19" s="493"/>
    </row>
    <row r="20" spans="1:13" ht="23.25">
      <c r="A20" s="494">
        <v>2.0499999999999998</v>
      </c>
      <c r="B20" s="520" t="s">
        <v>289</v>
      </c>
      <c r="C20" s="516" t="s">
        <v>55</v>
      </c>
      <c r="D20" s="517">
        <v>1</v>
      </c>
      <c r="E20" s="518">
        <v>122400</v>
      </c>
      <c r="F20" s="519">
        <f t="shared" si="2"/>
        <v>122400</v>
      </c>
      <c r="G20" s="489"/>
      <c r="H20" s="489"/>
      <c r="I20" s="500"/>
      <c r="J20" s="501"/>
      <c r="K20" s="523"/>
      <c r="L20" s="503"/>
      <c r="M20" s="493"/>
    </row>
    <row r="21" spans="1:13">
      <c r="A21" s="494">
        <v>2.06</v>
      </c>
      <c r="B21" s="524" t="s">
        <v>290</v>
      </c>
      <c r="C21" s="516" t="s">
        <v>38</v>
      </c>
      <c r="D21" s="517">
        <v>20</v>
      </c>
      <c r="E21" s="518">
        <f>83410.27/D21</f>
        <v>4170.5135</v>
      </c>
      <c r="F21" s="519">
        <f t="shared" si="2"/>
        <v>83410.27</v>
      </c>
      <c r="G21" s="489"/>
      <c r="H21" s="489"/>
      <c r="I21" s="500"/>
      <c r="J21" s="501"/>
      <c r="K21" s="492"/>
      <c r="L21" s="503"/>
      <c r="M21" s="493"/>
    </row>
    <row r="22" spans="1:13" ht="23.25">
      <c r="A22" s="522">
        <v>2.0699999999999998</v>
      </c>
      <c r="B22" s="520" t="s">
        <v>291</v>
      </c>
      <c r="C22" s="525" t="s">
        <v>32</v>
      </c>
      <c r="D22" s="517">
        <v>1</v>
      </c>
      <c r="E22" s="518">
        <v>15453</v>
      </c>
      <c r="F22" s="519">
        <f t="shared" si="2"/>
        <v>15453</v>
      </c>
      <c r="G22" s="489"/>
      <c r="H22" s="489"/>
      <c r="I22" s="500"/>
      <c r="J22" s="501"/>
      <c r="K22" s="492"/>
      <c r="L22" s="503"/>
      <c r="M22" s="493"/>
    </row>
    <row r="23" spans="1:13">
      <c r="A23" s="494">
        <v>2.08</v>
      </c>
      <c r="B23" s="526" t="s">
        <v>292</v>
      </c>
      <c r="C23" s="516" t="s">
        <v>55</v>
      </c>
      <c r="D23" s="517">
        <v>1</v>
      </c>
      <c r="E23" s="518">
        <v>153000</v>
      </c>
      <c r="F23" s="519">
        <f t="shared" si="2"/>
        <v>153000</v>
      </c>
      <c r="G23" s="489"/>
      <c r="H23" s="489"/>
      <c r="I23" s="500"/>
      <c r="J23" s="501"/>
      <c r="K23" s="527"/>
      <c r="L23" s="503"/>
      <c r="M23" s="493"/>
    </row>
    <row r="24" spans="1:13" ht="23.25">
      <c r="A24" s="494">
        <v>2.09</v>
      </c>
      <c r="B24" s="526" t="s">
        <v>293</v>
      </c>
      <c r="C24" s="516" t="s">
        <v>32</v>
      </c>
      <c r="D24" s="517">
        <v>1</v>
      </c>
      <c r="E24" s="518">
        <f>291120.24/D24</f>
        <v>291120.24</v>
      </c>
      <c r="F24" s="519">
        <f t="shared" si="2"/>
        <v>291120.24</v>
      </c>
      <c r="G24" s="489"/>
      <c r="H24" s="489"/>
      <c r="I24" s="500"/>
      <c r="J24" s="501"/>
      <c r="K24" s="527"/>
      <c r="L24" s="503"/>
      <c r="M24" s="493"/>
    </row>
    <row r="25" spans="1:13" ht="23.25">
      <c r="A25" s="494">
        <v>2.1</v>
      </c>
      <c r="B25" s="526" t="s">
        <v>294</v>
      </c>
      <c r="C25" s="516" t="s">
        <v>32</v>
      </c>
      <c r="D25" s="517">
        <v>1</v>
      </c>
      <c r="E25" s="518">
        <v>126990</v>
      </c>
      <c r="F25" s="519">
        <f t="shared" si="2"/>
        <v>126990</v>
      </c>
      <c r="G25" s="489"/>
      <c r="H25" s="489"/>
      <c r="I25" s="500"/>
      <c r="J25" s="501"/>
      <c r="K25" s="527"/>
      <c r="L25" s="513"/>
      <c r="M25" s="506"/>
    </row>
    <row r="26" spans="1:13" ht="23.25">
      <c r="A26" s="494">
        <v>2.11</v>
      </c>
      <c r="B26" s="526" t="s">
        <v>295</v>
      </c>
      <c r="C26" s="516" t="s">
        <v>32</v>
      </c>
      <c r="D26" s="517">
        <v>1</v>
      </c>
      <c r="E26" s="518">
        <v>38225</v>
      </c>
      <c r="F26" s="519">
        <f t="shared" si="2"/>
        <v>38225</v>
      </c>
      <c r="G26" s="489"/>
      <c r="H26" s="489"/>
      <c r="I26" s="500"/>
      <c r="J26" s="501"/>
      <c r="K26" s="527"/>
      <c r="L26" s="503"/>
      <c r="M26" s="493"/>
    </row>
    <row r="27" spans="1:13">
      <c r="A27" s="494"/>
      <c r="B27" s="528" t="s">
        <v>296</v>
      </c>
      <c r="C27" s="529"/>
      <c r="D27" s="530"/>
      <c r="E27" s="531"/>
      <c r="F27" s="511">
        <f>SUM(F16:F26)</f>
        <v>1094003.99</v>
      </c>
      <c r="G27" s="489"/>
      <c r="H27" s="489"/>
      <c r="I27" s="500"/>
      <c r="J27" s="501"/>
      <c r="K27" s="527"/>
      <c r="L27" s="503"/>
      <c r="M27" s="493"/>
    </row>
    <row r="28" spans="1:13" ht="22.5">
      <c r="A28" s="514">
        <v>3</v>
      </c>
      <c r="B28" s="528" t="s">
        <v>297</v>
      </c>
      <c r="C28" s="529"/>
      <c r="D28" s="530"/>
      <c r="E28" s="531"/>
      <c r="F28" s="519"/>
      <c r="G28" s="489"/>
      <c r="H28" s="489"/>
      <c r="I28" s="500"/>
      <c r="J28" s="501"/>
      <c r="K28" s="527"/>
      <c r="L28" s="503"/>
      <c r="M28" s="493"/>
    </row>
    <row r="29" spans="1:13">
      <c r="A29" s="494">
        <v>3.01</v>
      </c>
      <c r="B29" s="526" t="s">
        <v>298</v>
      </c>
      <c r="C29" s="516" t="s">
        <v>45</v>
      </c>
      <c r="D29" s="517">
        <v>2.2999999999999998</v>
      </c>
      <c r="E29" s="518">
        <v>707.56956000000002</v>
      </c>
      <c r="F29" s="532">
        <f t="shared" si="2"/>
        <v>1627.4099879999999</v>
      </c>
      <c r="G29" s="489"/>
      <c r="H29" s="489"/>
      <c r="I29" s="500"/>
      <c r="J29" s="501"/>
      <c r="K29" s="527"/>
      <c r="L29" s="503"/>
      <c r="M29" s="493"/>
    </row>
    <row r="30" spans="1:13">
      <c r="A30" s="494">
        <v>3.02</v>
      </c>
      <c r="B30" s="526" t="s">
        <v>299</v>
      </c>
      <c r="C30" s="516" t="s">
        <v>45</v>
      </c>
      <c r="D30" s="533">
        <v>0.89</v>
      </c>
      <c r="E30" s="518">
        <v>913</v>
      </c>
      <c r="F30" s="519">
        <f t="shared" si="2"/>
        <v>812.57</v>
      </c>
      <c r="G30" s="489"/>
      <c r="H30" s="489"/>
      <c r="I30" s="500"/>
      <c r="J30" s="501"/>
      <c r="K30" s="527"/>
      <c r="L30" s="503"/>
      <c r="M30" s="493"/>
    </row>
    <row r="31" spans="1:13" ht="23.25">
      <c r="A31" s="494">
        <v>3.03</v>
      </c>
      <c r="B31" s="526" t="s">
        <v>300</v>
      </c>
      <c r="C31" s="516" t="s">
        <v>45</v>
      </c>
      <c r="D31" s="533">
        <v>0.96</v>
      </c>
      <c r="E31" s="518">
        <v>13218.72</v>
      </c>
      <c r="F31" s="532">
        <f t="shared" si="2"/>
        <v>12689.971199999998</v>
      </c>
      <c r="G31" s="489"/>
      <c r="H31" s="489"/>
      <c r="I31" s="500"/>
      <c r="J31" s="501"/>
      <c r="K31" s="527"/>
      <c r="L31" s="503"/>
      <c r="M31" s="493"/>
    </row>
    <row r="32" spans="1:13" ht="23.25">
      <c r="A32" s="494">
        <v>3.04</v>
      </c>
      <c r="B32" s="520" t="s">
        <v>301</v>
      </c>
      <c r="C32" s="516" t="s">
        <v>222</v>
      </c>
      <c r="D32" s="533">
        <v>16</v>
      </c>
      <c r="E32" s="518">
        <f>119107.8/D32</f>
        <v>7444.2375000000002</v>
      </c>
      <c r="F32" s="519">
        <f t="shared" si="2"/>
        <v>119107.8</v>
      </c>
      <c r="G32" s="489"/>
      <c r="H32" s="489"/>
      <c r="I32" s="500"/>
      <c r="J32" s="501"/>
      <c r="K32" s="534"/>
      <c r="L32" s="535"/>
      <c r="M32" s="536"/>
    </row>
    <row r="33" spans="1:13" ht="23.25">
      <c r="A33" s="494">
        <v>3.05</v>
      </c>
      <c r="B33" s="520" t="s">
        <v>302</v>
      </c>
      <c r="C33" s="516" t="s">
        <v>45</v>
      </c>
      <c r="D33" s="533">
        <v>2.2400000000000002</v>
      </c>
      <c r="E33" s="518">
        <f>40308.19/D33</f>
        <v>17994.727678571428</v>
      </c>
      <c r="F33" s="519">
        <f t="shared" si="2"/>
        <v>40308.19</v>
      </c>
      <c r="G33" s="489"/>
      <c r="H33" s="489"/>
      <c r="I33" s="500"/>
      <c r="J33" s="501"/>
      <c r="K33" s="527"/>
      <c r="L33" s="503"/>
      <c r="M33" s="493"/>
    </row>
    <row r="34" spans="1:13">
      <c r="A34" s="494">
        <v>3.06</v>
      </c>
      <c r="B34" s="520" t="s">
        <v>303</v>
      </c>
      <c r="C34" s="516" t="s">
        <v>222</v>
      </c>
      <c r="D34" s="533">
        <v>54.4</v>
      </c>
      <c r="E34" s="518">
        <f>30848.84/D34</f>
        <v>567.07426470588234</v>
      </c>
      <c r="F34" s="519">
        <f t="shared" si="2"/>
        <v>30848.84</v>
      </c>
      <c r="G34" s="489"/>
      <c r="H34" s="489"/>
      <c r="I34" s="500"/>
      <c r="J34" s="501"/>
      <c r="K34" s="527"/>
      <c r="L34" s="503"/>
      <c r="M34" s="493"/>
    </row>
    <row r="35" spans="1:13">
      <c r="A35" s="494">
        <v>3.07</v>
      </c>
      <c r="B35" s="520" t="s">
        <v>304</v>
      </c>
      <c r="C35" s="516" t="s">
        <v>222</v>
      </c>
      <c r="D35" s="533">
        <v>54.4</v>
      </c>
      <c r="E35" s="537">
        <f>11787.04/D35</f>
        <v>216.67352941176472</v>
      </c>
      <c r="F35" s="519">
        <f t="shared" si="2"/>
        <v>11787.04</v>
      </c>
      <c r="G35" s="489"/>
      <c r="H35" s="489"/>
      <c r="I35" s="500"/>
      <c r="J35" s="501"/>
      <c r="K35" s="527"/>
      <c r="L35" s="503"/>
      <c r="M35" s="493"/>
    </row>
    <row r="36" spans="1:13">
      <c r="A36" s="538">
        <v>3.08</v>
      </c>
      <c r="B36" s="520" t="s">
        <v>305</v>
      </c>
      <c r="C36" s="516" t="s">
        <v>55</v>
      </c>
      <c r="D36" s="525">
        <v>1</v>
      </c>
      <c r="E36" s="539">
        <v>52020</v>
      </c>
      <c r="F36" s="519">
        <f t="shared" si="2"/>
        <v>52020</v>
      </c>
      <c r="G36" s="489"/>
      <c r="H36" s="489"/>
      <c r="I36" s="540"/>
      <c r="J36" s="541"/>
      <c r="K36" s="535"/>
      <c r="L36" s="503"/>
      <c r="M36" s="542"/>
    </row>
    <row r="37" spans="1:13" ht="23.25">
      <c r="A37" s="538">
        <v>3.09</v>
      </c>
      <c r="B37" s="526" t="s">
        <v>306</v>
      </c>
      <c r="C37" s="543" t="s">
        <v>55</v>
      </c>
      <c r="D37" s="544">
        <v>1</v>
      </c>
      <c r="E37" s="545">
        <v>13428.68</v>
      </c>
      <c r="F37" s="519">
        <f t="shared" si="2"/>
        <v>13428.68</v>
      </c>
      <c r="G37" s="489"/>
      <c r="H37" s="489"/>
      <c r="I37" s="540"/>
      <c r="J37" s="541"/>
      <c r="K37" s="535"/>
      <c r="L37" s="503"/>
      <c r="M37" s="493"/>
    </row>
    <row r="38" spans="1:13" ht="45.75">
      <c r="A38" s="538">
        <v>3.1</v>
      </c>
      <c r="B38" s="526" t="s">
        <v>307</v>
      </c>
      <c r="C38" s="543" t="s">
        <v>222</v>
      </c>
      <c r="D38" s="544">
        <v>1.44</v>
      </c>
      <c r="E38" s="546">
        <f>4667.39/D38</f>
        <v>3241.2430555555561</v>
      </c>
      <c r="F38" s="519">
        <f t="shared" si="2"/>
        <v>4667.3900000000003</v>
      </c>
      <c r="G38" s="489"/>
      <c r="H38" s="489"/>
      <c r="I38" s="500"/>
      <c r="J38" s="501"/>
      <c r="K38" s="527"/>
      <c r="L38" s="503"/>
      <c r="M38" s="493"/>
    </row>
    <row r="39" spans="1:13" ht="34.5">
      <c r="A39" s="538">
        <v>3.11</v>
      </c>
      <c r="B39" s="526" t="s">
        <v>308</v>
      </c>
      <c r="C39" s="543" t="s">
        <v>55</v>
      </c>
      <c r="D39" s="544">
        <v>1</v>
      </c>
      <c r="E39" s="546">
        <v>7317.64</v>
      </c>
      <c r="F39" s="519">
        <f t="shared" si="2"/>
        <v>7317.64</v>
      </c>
      <c r="G39" s="489"/>
      <c r="H39" s="489"/>
      <c r="I39" s="500"/>
      <c r="J39" s="501"/>
      <c r="K39" s="527"/>
      <c r="L39" s="503"/>
      <c r="M39" s="493"/>
    </row>
    <row r="40" spans="1:13">
      <c r="A40" s="538"/>
      <c r="B40" s="528" t="s">
        <v>309</v>
      </c>
      <c r="C40" s="547"/>
      <c r="D40" s="548"/>
      <c r="E40" s="549"/>
      <c r="F40" s="511">
        <f>SUM(F29:F39)</f>
        <v>294615.53118800005</v>
      </c>
      <c r="G40" s="489"/>
      <c r="H40" s="489"/>
      <c r="I40" s="500"/>
      <c r="J40" s="501"/>
      <c r="K40" s="527"/>
      <c r="L40" s="503"/>
      <c r="M40" s="493"/>
    </row>
    <row r="41" spans="1:13">
      <c r="A41" s="550">
        <v>4</v>
      </c>
      <c r="B41" s="528" t="s">
        <v>310</v>
      </c>
      <c r="C41" s="525"/>
      <c r="D41" s="533"/>
      <c r="E41" s="539"/>
      <c r="F41" s="519"/>
      <c r="G41" s="500"/>
      <c r="H41" s="500"/>
      <c r="I41" s="500"/>
      <c r="J41" s="501"/>
      <c r="K41" s="527"/>
      <c r="L41" s="503"/>
      <c r="M41" s="493"/>
    </row>
    <row r="42" spans="1:13">
      <c r="A42" s="551">
        <v>4.01</v>
      </c>
      <c r="B42" s="526" t="s">
        <v>44</v>
      </c>
      <c r="C42" s="516" t="s">
        <v>45</v>
      </c>
      <c r="D42" s="533">
        <v>67.86</v>
      </c>
      <c r="E42" s="518">
        <f>45407.77/D42</f>
        <v>669.13896256999703</v>
      </c>
      <c r="F42" s="519">
        <f t="shared" si="2"/>
        <v>45407.77</v>
      </c>
      <c r="G42" s="500"/>
      <c r="H42" s="500"/>
      <c r="I42" s="500"/>
      <c r="J42" s="501"/>
      <c r="K42" s="527"/>
      <c r="L42" s="503"/>
      <c r="M42" s="493"/>
    </row>
    <row r="43" spans="1:13" ht="23.25">
      <c r="A43" s="551">
        <v>4.0199999999999996</v>
      </c>
      <c r="B43" s="526" t="s">
        <v>311</v>
      </c>
      <c r="C43" s="516" t="s">
        <v>55</v>
      </c>
      <c r="D43" s="533">
        <v>1</v>
      </c>
      <c r="E43" s="518">
        <v>36720</v>
      </c>
      <c r="F43" s="519">
        <f t="shared" si="2"/>
        <v>36720</v>
      </c>
      <c r="G43" s="500"/>
      <c r="H43" s="500"/>
      <c r="I43" s="500"/>
      <c r="J43" s="501"/>
      <c r="K43" s="527"/>
      <c r="L43" s="503"/>
      <c r="M43" s="493"/>
    </row>
    <row r="44" spans="1:13">
      <c r="A44" s="551">
        <v>4.03</v>
      </c>
      <c r="B44" s="526" t="s">
        <v>312</v>
      </c>
      <c r="C44" s="516" t="s">
        <v>55</v>
      </c>
      <c r="D44" s="533">
        <v>1</v>
      </c>
      <c r="E44" s="518">
        <v>5202</v>
      </c>
      <c r="F44" s="519">
        <f t="shared" si="2"/>
        <v>5202</v>
      </c>
      <c r="G44" s="500"/>
      <c r="H44" s="500"/>
      <c r="I44" s="500"/>
      <c r="J44" s="501"/>
      <c r="K44" s="527"/>
      <c r="L44" s="503"/>
      <c r="M44" s="493"/>
    </row>
    <row r="45" spans="1:13">
      <c r="A45" s="538">
        <v>4.04</v>
      </c>
      <c r="B45" s="552" t="s">
        <v>313</v>
      </c>
      <c r="C45" s="516" t="s">
        <v>45</v>
      </c>
      <c r="D45" s="525">
        <v>62.5</v>
      </c>
      <c r="E45" s="539">
        <v>9240</v>
      </c>
      <c r="F45" s="519">
        <f t="shared" si="2"/>
        <v>577500</v>
      </c>
      <c r="G45" s="489"/>
      <c r="H45" s="500"/>
      <c r="I45" s="540"/>
      <c r="J45" s="541"/>
      <c r="K45" s="535"/>
      <c r="L45" s="553"/>
      <c r="M45" s="536"/>
    </row>
    <row r="46" spans="1:13">
      <c r="A46" s="538">
        <v>4.05</v>
      </c>
      <c r="B46" s="526" t="s">
        <v>314</v>
      </c>
      <c r="C46" s="543" t="s">
        <v>315</v>
      </c>
      <c r="D46" s="544">
        <v>116.25</v>
      </c>
      <c r="E46" s="545">
        <v>4235</v>
      </c>
      <c r="F46" s="519">
        <f t="shared" si="2"/>
        <v>492318.75</v>
      </c>
      <c r="G46" s="489"/>
      <c r="H46" s="500"/>
      <c r="I46" s="540"/>
      <c r="J46" s="541"/>
      <c r="K46" s="535"/>
      <c r="L46" s="554"/>
      <c r="M46" s="493"/>
    </row>
    <row r="47" spans="1:13">
      <c r="A47" s="538">
        <v>4.0599999999999996</v>
      </c>
      <c r="B47" s="526" t="s">
        <v>316</v>
      </c>
      <c r="C47" s="543" t="s">
        <v>317</v>
      </c>
      <c r="D47" s="544">
        <v>132.53</v>
      </c>
      <c r="E47" s="546">
        <v>105</v>
      </c>
      <c r="F47" s="519">
        <f t="shared" si="2"/>
        <v>13915.65</v>
      </c>
      <c r="G47" s="489"/>
      <c r="H47" s="500"/>
      <c r="I47" s="540"/>
      <c r="J47" s="541"/>
      <c r="K47" s="535"/>
      <c r="L47" s="554"/>
      <c r="M47" s="493"/>
    </row>
    <row r="48" spans="1:13">
      <c r="A48" s="538">
        <v>4.07</v>
      </c>
      <c r="B48" s="526" t="s">
        <v>318</v>
      </c>
      <c r="C48" s="543" t="s">
        <v>55</v>
      </c>
      <c r="D48" s="544">
        <v>1</v>
      </c>
      <c r="E48" s="546">
        <v>10800</v>
      </c>
      <c r="F48" s="519">
        <f t="shared" si="2"/>
        <v>10800</v>
      </c>
      <c r="G48" s="489"/>
      <c r="H48" s="500"/>
      <c r="I48" s="540"/>
      <c r="J48" s="541"/>
      <c r="K48" s="535"/>
      <c r="L48" s="554"/>
      <c r="M48" s="493"/>
    </row>
    <row r="49" spans="1:13">
      <c r="A49" s="538">
        <v>4.08</v>
      </c>
      <c r="B49" s="526" t="s">
        <v>319</v>
      </c>
      <c r="C49" s="543" t="s">
        <v>38</v>
      </c>
      <c r="D49" s="555">
        <v>24</v>
      </c>
      <c r="E49" s="556">
        <v>22569.75</v>
      </c>
      <c r="F49" s="519">
        <f t="shared" si="2"/>
        <v>541674</v>
      </c>
      <c r="G49" s="489"/>
      <c r="H49" s="500"/>
      <c r="I49" s="540"/>
      <c r="J49" s="541"/>
      <c r="K49" s="535"/>
      <c r="L49" s="554"/>
      <c r="M49" s="493"/>
    </row>
    <row r="50" spans="1:13">
      <c r="A50" s="538">
        <v>4.09</v>
      </c>
      <c r="B50" s="526" t="s">
        <v>320</v>
      </c>
      <c r="C50" s="543" t="s">
        <v>55</v>
      </c>
      <c r="D50" s="555">
        <v>1</v>
      </c>
      <c r="E50" s="556">
        <v>30000</v>
      </c>
      <c r="F50" s="519">
        <f t="shared" si="2"/>
        <v>30000</v>
      </c>
      <c r="G50" s="489"/>
      <c r="H50" s="500"/>
      <c r="I50" s="540"/>
      <c r="J50" s="541"/>
      <c r="K50" s="535"/>
      <c r="L50" s="554"/>
      <c r="M50" s="493"/>
    </row>
    <row r="51" spans="1:13">
      <c r="A51" s="551">
        <v>4.0999999999999996</v>
      </c>
      <c r="B51" s="526" t="s">
        <v>321</v>
      </c>
      <c r="C51" s="516" t="s">
        <v>45</v>
      </c>
      <c r="D51" s="533">
        <v>30</v>
      </c>
      <c r="E51" s="518">
        <f>96377.3/D51</f>
        <v>3212.5766666666668</v>
      </c>
      <c r="F51" s="519">
        <f t="shared" si="2"/>
        <v>96377.3</v>
      </c>
      <c r="G51" s="489"/>
      <c r="H51" s="500"/>
      <c r="I51" s="540"/>
      <c r="J51" s="541"/>
      <c r="K51" s="535"/>
      <c r="L51" s="554"/>
      <c r="M51" s="493"/>
    </row>
    <row r="52" spans="1:13">
      <c r="A52" s="551">
        <v>4.1100000000000003</v>
      </c>
      <c r="B52" s="526" t="s">
        <v>322</v>
      </c>
      <c r="C52" s="516" t="s">
        <v>55</v>
      </c>
      <c r="D52" s="533">
        <v>1</v>
      </c>
      <c r="E52" s="518">
        <v>54113</v>
      </c>
      <c r="F52" s="519">
        <f t="shared" si="2"/>
        <v>54113</v>
      </c>
      <c r="G52" s="489"/>
      <c r="H52" s="500"/>
      <c r="I52" s="540"/>
      <c r="J52" s="541"/>
      <c r="K52" s="535"/>
      <c r="L52" s="554"/>
      <c r="M52" s="493"/>
    </row>
    <row r="53" spans="1:13">
      <c r="A53" s="551">
        <v>4.12</v>
      </c>
      <c r="B53" s="526" t="s">
        <v>323</v>
      </c>
      <c r="C53" s="516" t="s">
        <v>55</v>
      </c>
      <c r="D53" s="533">
        <v>1</v>
      </c>
      <c r="E53" s="518">
        <v>51314.06</v>
      </c>
      <c r="F53" s="519">
        <f t="shared" si="2"/>
        <v>51314.06</v>
      </c>
      <c r="G53" s="489"/>
      <c r="H53" s="500"/>
      <c r="I53" s="540"/>
      <c r="J53" s="541"/>
      <c r="K53" s="535"/>
      <c r="L53" s="554"/>
      <c r="M53" s="493"/>
    </row>
    <row r="54" spans="1:13" ht="22.5">
      <c r="A54" s="538">
        <v>4.13</v>
      </c>
      <c r="B54" s="552" t="s">
        <v>324</v>
      </c>
      <c r="C54" s="516" t="s">
        <v>32</v>
      </c>
      <c r="D54" s="525">
        <v>1</v>
      </c>
      <c r="E54" s="539">
        <v>41225</v>
      </c>
      <c r="F54" s="519">
        <f t="shared" si="2"/>
        <v>41225</v>
      </c>
      <c r="G54" s="489"/>
      <c r="H54" s="500"/>
      <c r="I54" s="540"/>
      <c r="J54" s="541"/>
      <c r="K54" s="535"/>
      <c r="L54" s="554"/>
      <c r="M54" s="493"/>
    </row>
    <row r="55" spans="1:13" ht="23.25">
      <c r="A55" s="538">
        <v>4.1399999999999997</v>
      </c>
      <c r="B55" s="526" t="s">
        <v>325</v>
      </c>
      <c r="C55" s="543" t="s">
        <v>52</v>
      </c>
      <c r="D55" s="544">
        <v>1</v>
      </c>
      <c r="E55" s="545">
        <v>51298</v>
      </c>
      <c r="F55" s="519">
        <f t="shared" si="2"/>
        <v>51298</v>
      </c>
      <c r="G55" s="489"/>
      <c r="H55" s="500"/>
      <c r="I55" s="540"/>
      <c r="J55" s="541"/>
      <c r="K55" s="535"/>
      <c r="L55" s="554"/>
      <c r="M55" s="493"/>
    </row>
    <row r="56" spans="1:13">
      <c r="A56" s="538">
        <v>4.1500000000000004</v>
      </c>
      <c r="B56" s="526" t="s">
        <v>326</v>
      </c>
      <c r="C56" s="543" t="s">
        <v>52</v>
      </c>
      <c r="D56" s="544">
        <v>1</v>
      </c>
      <c r="E56" s="546">
        <v>9333</v>
      </c>
      <c r="F56" s="519">
        <f t="shared" si="2"/>
        <v>9333</v>
      </c>
      <c r="G56" s="489"/>
      <c r="H56" s="500"/>
      <c r="I56" s="540"/>
      <c r="J56" s="541"/>
      <c r="K56" s="535"/>
      <c r="L56" s="554"/>
      <c r="M56" s="493"/>
    </row>
    <row r="57" spans="1:13">
      <c r="A57" s="538"/>
      <c r="B57" s="528" t="s">
        <v>327</v>
      </c>
      <c r="C57" s="547"/>
      <c r="D57" s="557"/>
      <c r="E57" s="558"/>
      <c r="F57" s="511">
        <f>SUM(F42:F56)</f>
        <v>2057198.53</v>
      </c>
      <c r="G57" s="489"/>
      <c r="H57" s="500"/>
      <c r="I57" s="540"/>
      <c r="J57" s="541"/>
      <c r="K57" s="535"/>
      <c r="L57" s="554"/>
      <c r="M57" s="493"/>
    </row>
    <row r="58" spans="1:13">
      <c r="A58" s="550">
        <v>5</v>
      </c>
      <c r="B58" s="528" t="s">
        <v>328</v>
      </c>
      <c r="C58" s="543"/>
      <c r="D58" s="544"/>
      <c r="E58" s="546"/>
      <c r="F58" s="519"/>
      <c r="G58" s="489"/>
      <c r="H58" s="500"/>
      <c r="I58" s="540"/>
      <c r="J58" s="541"/>
      <c r="K58" s="535"/>
      <c r="L58" s="554"/>
      <c r="M58" s="493"/>
    </row>
    <row r="59" spans="1:13">
      <c r="A59" s="538">
        <v>5.01</v>
      </c>
      <c r="B59" s="526" t="s">
        <v>329</v>
      </c>
      <c r="C59" s="543" t="s">
        <v>330</v>
      </c>
      <c r="D59" s="544">
        <v>160</v>
      </c>
      <c r="E59" s="546">
        <v>1122</v>
      </c>
      <c r="F59" s="519">
        <f t="shared" si="2"/>
        <v>179520</v>
      </c>
      <c r="G59" s="489"/>
      <c r="H59" s="500"/>
      <c r="I59" s="540"/>
      <c r="J59" s="541"/>
      <c r="K59" s="535"/>
      <c r="L59" s="554"/>
      <c r="M59" s="493"/>
    </row>
    <row r="60" spans="1:13">
      <c r="A60" s="538">
        <v>5.0199999999999996</v>
      </c>
      <c r="B60" s="526" t="s">
        <v>331</v>
      </c>
      <c r="C60" s="543" t="s">
        <v>330</v>
      </c>
      <c r="D60" s="544">
        <v>160</v>
      </c>
      <c r="E60" s="546">
        <v>153</v>
      </c>
      <c r="F60" s="519">
        <f t="shared" si="2"/>
        <v>24480</v>
      </c>
      <c r="G60" s="489"/>
      <c r="H60" s="500"/>
      <c r="I60" s="540"/>
      <c r="J60" s="541"/>
      <c r="K60" s="535"/>
      <c r="L60" s="554"/>
      <c r="M60" s="493"/>
    </row>
    <row r="61" spans="1:13" ht="23.25">
      <c r="A61" s="538">
        <v>5.03</v>
      </c>
      <c r="B61" s="526" t="s">
        <v>332</v>
      </c>
      <c r="C61" s="543" t="s">
        <v>330</v>
      </c>
      <c r="D61" s="544">
        <v>120</v>
      </c>
      <c r="E61" s="546">
        <v>252</v>
      </c>
      <c r="F61" s="519">
        <f t="shared" si="2"/>
        <v>30240</v>
      </c>
      <c r="G61" s="489"/>
      <c r="H61" s="500"/>
      <c r="I61" s="540"/>
      <c r="J61" s="541"/>
      <c r="K61" s="535"/>
      <c r="L61" s="554"/>
      <c r="M61" s="493"/>
    </row>
    <row r="62" spans="1:13">
      <c r="A62" s="538">
        <v>5.04</v>
      </c>
      <c r="B62" s="526" t="s">
        <v>333</v>
      </c>
      <c r="C62" s="543" t="s">
        <v>32</v>
      </c>
      <c r="D62" s="544">
        <v>2</v>
      </c>
      <c r="E62" s="546">
        <v>3306.07</v>
      </c>
      <c r="F62" s="519">
        <f t="shared" si="2"/>
        <v>6612.14</v>
      </c>
      <c r="G62" s="489"/>
      <c r="H62" s="500"/>
      <c r="I62" s="540"/>
      <c r="J62" s="541"/>
      <c r="K62" s="535"/>
      <c r="L62" s="554"/>
      <c r="M62" s="493"/>
    </row>
    <row r="63" spans="1:13">
      <c r="A63" s="538">
        <v>5.05</v>
      </c>
      <c r="B63" s="526" t="s">
        <v>334</v>
      </c>
      <c r="C63" s="543" t="s">
        <v>32</v>
      </c>
      <c r="D63" s="544">
        <v>160</v>
      </c>
      <c r="E63" s="546">
        <v>57400</v>
      </c>
      <c r="F63" s="519">
        <f t="shared" si="2"/>
        <v>9184000</v>
      </c>
      <c r="G63" s="489"/>
      <c r="H63" s="500"/>
      <c r="I63" s="540"/>
      <c r="J63" s="541"/>
      <c r="K63" s="535"/>
      <c r="L63" s="554"/>
      <c r="M63" s="493"/>
    </row>
    <row r="64" spans="1:13">
      <c r="A64" s="538">
        <v>5.0599999999999996</v>
      </c>
      <c r="B64" s="526" t="s">
        <v>335</v>
      </c>
      <c r="C64" s="543" t="s">
        <v>32</v>
      </c>
      <c r="D64" s="544">
        <v>2</v>
      </c>
      <c r="E64" s="546">
        <v>5000</v>
      </c>
      <c r="F64" s="519">
        <f t="shared" si="2"/>
        <v>10000</v>
      </c>
      <c r="G64" s="489"/>
      <c r="H64" s="500"/>
      <c r="I64" s="540"/>
      <c r="J64" s="541"/>
      <c r="K64" s="535"/>
      <c r="L64" s="554"/>
      <c r="M64" s="493"/>
    </row>
    <row r="65" spans="1:13" ht="23.25">
      <c r="A65" s="538">
        <v>5.07</v>
      </c>
      <c r="B65" s="526" t="s">
        <v>336</v>
      </c>
      <c r="C65" s="543" t="s">
        <v>32</v>
      </c>
      <c r="D65" s="544">
        <v>2</v>
      </c>
      <c r="E65" s="546">
        <v>10000</v>
      </c>
      <c r="F65" s="519">
        <f t="shared" si="2"/>
        <v>20000</v>
      </c>
      <c r="G65" s="489"/>
      <c r="H65" s="500">
        <v>2</v>
      </c>
      <c r="I65" s="540">
        <f>G65+H65</f>
        <v>2</v>
      </c>
      <c r="J65" s="541">
        <f>H65/D65*100</f>
        <v>100</v>
      </c>
      <c r="K65" s="535"/>
      <c r="L65" s="554">
        <f>H65*E65</f>
        <v>20000</v>
      </c>
      <c r="M65" s="554">
        <f>K65+L65</f>
        <v>20000</v>
      </c>
    </row>
    <row r="66" spans="1:13" ht="23.25">
      <c r="A66" s="538">
        <v>5.08</v>
      </c>
      <c r="B66" s="526" t="s">
        <v>337</v>
      </c>
      <c r="C66" s="543" t="s">
        <v>55</v>
      </c>
      <c r="D66" s="544">
        <v>2</v>
      </c>
      <c r="E66" s="546">
        <v>15000</v>
      </c>
      <c r="F66" s="519">
        <f t="shared" si="2"/>
        <v>30000</v>
      </c>
      <c r="G66" s="489"/>
      <c r="H66" s="500">
        <v>2</v>
      </c>
      <c r="I66" s="540">
        <f t="shared" ref="I66:I67" si="3">G66+H66</f>
        <v>2</v>
      </c>
      <c r="J66" s="541">
        <f t="shared" ref="J66:J67" si="4">H66/D66*100</f>
        <v>100</v>
      </c>
      <c r="K66" s="535"/>
      <c r="L66" s="554">
        <f t="shared" ref="L66:L67" si="5">H66*E66</f>
        <v>30000</v>
      </c>
      <c r="M66" s="554">
        <f t="shared" ref="M66:M67" si="6">K66+L66</f>
        <v>30000</v>
      </c>
    </row>
    <row r="67" spans="1:13">
      <c r="A67" s="538">
        <v>5.09</v>
      </c>
      <c r="B67" s="526" t="s">
        <v>338</v>
      </c>
      <c r="C67" s="543" t="s">
        <v>32</v>
      </c>
      <c r="D67" s="544">
        <v>2</v>
      </c>
      <c r="E67" s="546">
        <v>1500</v>
      </c>
      <c r="F67" s="519">
        <f t="shared" si="2"/>
        <v>3000</v>
      </c>
      <c r="G67" s="489"/>
      <c r="H67" s="500">
        <v>2</v>
      </c>
      <c r="I67" s="540">
        <f t="shared" si="3"/>
        <v>2</v>
      </c>
      <c r="J67" s="541">
        <f t="shared" si="4"/>
        <v>100</v>
      </c>
      <c r="K67" s="535"/>
      <c r="L67" s="554">
        <f t="shared" si="5"/>
        <v>3000</v>
      </c>
      <c r="M67" s="554">
        <f t="shared" si="6"/>
        <v>3000</v>
      </c>
    </row>
    <row r="68" spans="1:13">
      <c r="A68" s="538"/>
      <c r="B68" s="528" t="s">
        <v>339</v>
      </c>
      <c r="C68" s="547"/>
      <c r="D68" s="557"/>
      <c r="E68" s="558"/>
      <c r="F68" s="511">
        <f>SUM(F59:F67)</f>
        <v>9487852.1400000006</v>
      </c>
      <c r="G68" s="489"/>
      <c r="H68" s="500"/>
      <c r="I68" s="540"/>
      <c r="J68" s="541"/>
      <c r="K68" s="535"/>
      <c r="L68" s="559">
        <f>SUM(L65:L67)</f>
        <v>53000</v>
      </c>
      <c r="M68" s="559">
        <f>SUM(M65:M67)</f>
        <v>53000</v>
      </c>
    </row>
    <row r="69" spans="1:13" ht="22.5">
      <c r="A69" s="550">
        <v>6</v>
      </c>
      <c r="B69" s="560" t="s">
        <v>340</v>
      </c>
      <c r="C69" s="561"/>
      <c r="D69" s="562"/>
      <c r="E69" s="563"/>
      <c r="F69" s="499"/>
      <c r="G69" s="489"/>
      <c r="H69" s="500"/>
      <c r="I69" s="540"/>
      <c r="J69" s="541"/>
      <c r="K69" s="535"/>
      <c r="L69" s="554"/>
      <c r="M69" s="493"/>
    </row>
    <row r="70" spans="1:13">
      <c r="A70" s="538">
        <v>6.01</v>
      </c>
      <c r="B70" s="564" t="s">
        <v>341</v>
      </c>
      <c r="C70" s="561" t="s">
        <v>55</v>
      </c>
      <c r="D70" s="562">
        <v>1</v>
      </c>
      <c r="E70" s="563">
        <v>30600</v>
      </c>
      <c r="F70" s="499">
        <f t="shared" si="2"/>
        <v>30600</v>
      </c>
      <c r="G70" s="489">
        <v>1</v>
      </c>
      <c r="H70" s="500"/>
      <c r="I70" s="540">
        <f>G70+H70</f>
        <v>1</v>
      </c>
      <c r="J70" s="541">
        <f t="shared" ref="J70:J71" si="7">G70/D70*100</f>
        <v>100</v>
      </c>
      <c r="K70" s="553">
        <f>G70*E70</f>
        <v>30600</v>
      </c>
      <c r="L70" s="553"/>
      <c r="M70" s="553">
        <f>K70+L70</f>
        <v>30600</v>
      </c>
    </row>
    <row r="71" spans="1:13">
      <c r="A71" s="538">
        <v>6.02</v>
      </c>
      <c r="B71" s="564" t="s">
        <v>342</v>
      </c>
      <c r="C71" s="561" t="s">
        <v>55</v>
      </c>
      <c r="D71" s="562">
        <v>1</v>
      </c>
      <c r="E71" s="563">
        <v>76500</v>
      </c>
      <c r="F71" s="499">
        <f t="shared" si="2"/>
        <v>76500</v>
      </c>
      <c r="G71" s="489">
        <v>1</v>
      </c>
      <c r="H71" s="500"/>
      <c r="I71" s="540">
        <f t="shared" ref="I71:I72" si="8">G71+H71</f>
        <v>1</v>
      </c>
      <c r="J71" s="541">
        <f t="shared" si="7"/>
        <v>100</v>
      </c>
      <c r="K71" s="553">
        <f t="shared" ref="K71:K72" si="9">G71*E71</f>
        <v>76500</v>
      </c>
      <c r="L71" s="553"/>
      <c r="M71" s="553">
        <f t="shared" ref="M71:M72" si="10">K71+L71</f>
        <v>76500</v>
      </c>
    </row>
    <row r="72" spans="1:13" ht="23.25">
      <c r="A72" s="538">
        <v>6.03</v>
      </c>
      <c r="B72" s="564" t="s">
        <v>343</v>
      </c>
      <c r="C72" s="561" t="s">
        <v>55</v>
      </c>
      <c r="D72" s="562">
        <v>1</v>
      </c>
      <c r="E72" s="563">
        <v>30600</v>
      </c>
      <c r="F72" s="499">
        <f t="shared" si="2"/>
        <v>30600</v>
      </c>
      <c r="G72" s="489">
        <v>1</v>
      </c>
      <c r="H72" s="500"/>
      <c r="I72" s="540">
        <f t="shared" si="8"/>
        <v>1</v>
      </c>
      <c r="J72" s="541">
        <f>G72/D72*100</f>
        <v>100</v>
      </c>
      <c r="K72" s="553">
        <f t="shared" si="9"/>
        <v>30600</v>
      </c>
      <c r="L72" s="553"/>
      <c r="M72" s="553">
        <f t="shared" si="10"/>
        <v>30600</v>
      </c>
    </row>
    <row r="73" spans="1:13">
      <c r="A73" s="538"/>
      <c r="B73" s="560" t="s">
        <v>344</v>
      </c>
      <c r="C73" s="565"/>
      <c r="D73" s="566"/>
      <c r="E73" s="567"/>
      <c r="F73" s="511">
        <f>SUM(F70:F72)</f>
        <v>137700</v>
      </c>
      <c r="G73" s="489"/>
      <c r="H73" s="500"/>
      <c r="I73" s="540"/>
      <c r="J73" s="568"/>
      <c r="K73" s="535">
        <f>SUM(K70:K72)</f>
        <v>137700</v>
      </c>
      <c r="L73" s="559"/>
      <c r="M73" s="559">
        <f>K73+L73</f>
        <v>137700</v>
      </c>
    </row>
    <row r="74" spans="1:13">
      <c r="A74" s="550">
        <v>1</v>
      </c>
      <c r="B74" s="560" t="s">
        <v>345</v>
      </c>
      <c r="C74" s="561"/>
      <c r="D74" s="562"/>
      <c r="E74" s="563"/>
      <c r="F74" s="499"/>
      <c r="G74" s="489"/>
      <c r="H74" s="500"/>
      <c r="I74" s="540"/>
      <c r="J74" s="568"/>
      <c r="K74" s="535"/>
      <c r="L74" s="554"/>
      <c r="M74" s="493"/>
    </row>
    <row r="75" spans="1:13" ht="23.25">
      <c r="A75" s="538">
        <v>1.01</v>
      </c>
      <c r="B75" s="564" t="s">
        <v>346</v>
      </c>
      <c r="C75" s="561" t="s">
        <v>55</v>
      </c>
      <c r="D75" s="562">
        <v>1</v>
      </c>
      <c r="E75" s="563">
        <v>76500</v>
      </c>
      <c r="F75" s="499">
        <f t="shared" si="2"/>
        <v>76500</v>
      </c>
      <c r="G75" s="489"/>
      <c r="H75" s="500"/>
      <c r="I75" s="540"/>
      <c r="J75" s="568"/>
      <c r="K75" s="535"/>
      <c r="L75" s="554"/>
      <c r="M75" s="493"/>
    </row>
    <row r="76" spans="1:13">
      <c r="A76" s="538"/>
      <c r="B76" s="560" t="s">
        <v>66</v>
      </c>
      <c r="C76" s="561"/>
      <c r="D76" s="569"/>
      <c r="E76" s="570"/>
      <c r="F76" s="511">
        <f>F75</f>
        <v>76500</v>
      </c>
      <c r="G76" s="489"/>
      <c r="H76" s="500"/>
      <c r="I76" s="540"/>
      <c r="J76" s="568"/>
      <c r="K76" s="535"/>
      <c r="L76" s="554"/>
      <c r="M76" s="493"/>
    </row>
    <row r="77" spans="1:13">
      <c r="A77" s="468"/>
      <c r="B77" s="471" t="s">
        <v>73</v>
      </c>
      <c r="C77" s="468"/>
      <c r="D77" s="468"/>
      <c r="E77" s="571"/>
      <c r="F77" s="572">
        <f>F76+F73+F68+F57+F40+F27+F14-0.02</f>
        <v>13418060.841188001</v>
      </c>
      <c r="G77" s="468"/>
      <c r="H77" s="468"/>
      <c r="I77" s="468"/>
      <c r="J77" s="468"/>
      <c r="K77" s="573"/>
      <c r="L77" s="574"/>
      <c r="M77" s="575"/>
    </row>
    <row r="78" spans="1:13">
      <c r="A78" s="468"/>
      <c r="B78" s="471"/>
      <c r="C78" s="468"/>
      <c r="D78" s="468"/>
      <c r="E78" s="571"/>
      <c r="F78" s="572"/>
      <c r="G78" s="468"/>
      <c r="H78" s="468"/>
      <c r="I78" s="468"/>
      <c r="J78" s="468"/>
      <c r="K78" s="573"/>
      <c r="L78" s="574"/>
      <c r="M78" s="575"/>
    </row>
    <row r="79" spans="1:13">
      <c r="A79" s="576"/>
      <c r="B79" s="471" t="s">
        <v>347</v>
      </c>
      <c r="C79" s="468"/>
      <c r="D79" s="468"/>
      <c r="E79" s="577"/>
      <c r="F79" s="578"/>
      <c r="G79" s="579"/>
      <c r="H79" s="580"/>
      <c r="I79" s="581"/>
      <c r="J79" s="582"/>
      <c r="K79" s="583"/>
      <c r="L79" s="584"/>
      <c r="M79" s="585"/>
    </row>
    <row r="80" spans="1:13">
      <c r="A80" s="1137" t="s">
        <v>348</v>
      </c>
      <c r="B80" s="1137"/>
      <c r="C80" s="1137"/>
      <c r="D80" s="1137"/>
      <c r="E80" s="1137"/>
      <c r="F80" s="1137"/>
      <c r="G80" s="1138" t="s">
        <v>17</v>
      </c>
      <c r="H80" s="1138"/>
      <c r="I80" s="1138"/>
      <c r="J80" s="1138"/>
      <c r="K80" s="1139" t="s">
        <v>18</v>
      </c>
      <c r="L80" s="1139"/>
      <c r="M80" s="1139"/>
    </row>
    <row r="81" spans="1:13" ht="22.5">
      <c r="A81" s="407" t="s">
        <v>19</v>
      </c>
      <c r="B81" s="408" t="s">
        <v>20</v>
      </c>
      <c r="C81" s="408" t="s">
        <v>52</v>
      </c>
      <c r="D81" s="408" t="s">
        <v>90</v>
      </c>
      <c r="E81" s="408" t="s">
        <v>349</v>
      </c>
      <c r="F81" s="408" t="s">
        <v>24</v>
      </c>
      <c r="G81" s="409" t="s">
        <v>25</v>
      </c>
      <c r="H81" s="409" t="s">
        <v>26</v>
      </c>
      <c r="I81" s="409" t="s">
        <v>27</v>
      </c>
      <c r="J81" s="409" t="s">
        <v>28</v>
      </c>
      <c r="K81" s="410" t="s">
        <v>25</v>
      </c>
      <c r="L81" s="410" t="s">
        <v>26</v>
      </c>
      <c r="M81" s="410" t="s">
        <v>27</v>
      </c>
    </row>
    <row r="82" spans="1:13">
      <c r="A82" s="407" t="s">
        <v>350</v>
      </c>
      <c r="B82" s="408" t="s">
        <v>351</v>
      </c>
      <c r="C82" s="408"/>
      <c r="D82" s="408"/>
      <c r="E82" s="408"/>
      <c r="F82" s="408"/>
      <c r="G82" s="409"/>
      <c r="H82" s="409"/>
      <c r="I82" s="409"/>
      <c r="J82" s="409"/>
      <c r="K82" s="410"/>
      <c r="L82" s="410"/>
      <c r="M82" s="410"/>
    </row>
    <row r="83" spans="1:13">
      <c r="A83" s="586">
        <v>1.01</v>
      </c>
      <c r="B83" s="587" t="s">
        <v>47</v>
      </c>
      <c r="C83" s="538" t="s">
        <v>55</v>
      </c>
      <c r="D83" s="588">
        <v>1</v>
      </c>
      <c r="E83" s="589">
        <v>15000</v>
      </c>
      <c r="F83" s="589">
        <f>D83*E83</f>
        <v>15000</v>
      </c>
      <c r="G83" s="590">
        <v>1</v>
      </c>
      <c r="H83" s="590"/>
      <c r="I83" s="590">
        <f>G83+H83</f>
        <v>1</v>
      </c>
      <c r="J83" s="591">
        <f>I83/D83</f>
        <v>1</v>
      </c>
      <c r="K83" s="592">
        <f>E83*D83</f>
        <v>15000</v>
      </c>
      <c r="L83" s="592"/>
      <c r="M83" s="592">
        <f>K83+L83</f>
        <v>15000</v>
      </c>
    </row>
    <row r="84" spans="1:13" ht="15.75" customHeight="1">
      <c r="A84" s="586">
        <v>1.02</v>
      </c>
      <c r="B84" s="593" t="s">
        <v>352</v>
      </c>
      <c r="C84" s="538" t="s">
        <v>55</v>
      </c>
      <c r="D84" s="588">
        <v>1</v>
      </c>
      <c r="E84" s="589">
        <v>125000</v>
      </c>
      <c r="F84" s="589">
        <f t="shared" ref="F84:F96" si="11">D84*E84</f>
        <v>125000</v>
      </c>
      <c r="G84" s="590">
        <v>1</v>
      </c>
      <c r="H84" s="590"/>
      <c r="I84" s="590">
        <f t="shared" ref="I84" si="12">G84+H84</f>
        <v>1</v>
      </c>
      <c r="J84" s="591">
        <f t="shared" ref="J84:J89" si="13">I84/D84</f>
        <v>1</v>
      </c>
      <c r="K84" s="592">
        <f>E84*D84</f>
        <v>125000</v>
      </c>
      <c r="L84" s="592"/>
      <c r="M84" s="592">
        <f>K84+L84</f>
        <v>125000</v>
      </c>
    </row>
    <row r="85" spans="1:13">
      <c r="A85" s="586">
        <v>1.03</v>
      </c>
      <c r="B85" s="594" t="s">
        <v>353</v>
      </c>
      <c r="C85" s="595" t="s">
        <v>38</v>
      </c>
      <c r="D85" s="588">
        <v>280</v>
      </c>
      <c r="E85" s="596">
        <v>1750</v>
      </c>
      <c r="F85" s="589">
        <f t="shared" si="11"/>
        <v>490000</v>
      </c>
      <c r="G85" s="590">
        <v>1</v>
      </c>
      <c r="H85" s="590"/>
      <c r="I85" s="590">
        <v>280</v>
      </c>
      <c r="J85" s="591">
        <f t="shared" si="13"/>
        <v>1</v>
      </c>
      <c r="K85" s="592">
        <f t="shared" ref="K85:K96" si="14">E85*D85</f>
        <v>490000</v>
      </c>
      <c r="L85" s="592"/>
      <c r="M85" s="592">
        <f t="shared" ref="M85:M89" si="15">K85+L85</f>
        <v>490000</v>
      </c>
    </row>
    <row r="86" spans="1:13" ht="22.5">
      <c r="A86" s="586">
        <v>1.04</v>
      </c>
      <c r="B86" s="594" t="s">
        <v>354</v>
      </c>
      <c r="C86" s="595" t="s">
        <v>32</v>
      </c>
      <c r="D86" s="588">
        <v>16</v>
      </c>
      <c r="E86" s="596">
        <v>15000</v>
      </c>
      <c r="F86" s="589">
        <f t="shared" si="11"/>
        <v>240000</v>
      </c>
      <c r="G86" s="590">
        <v>280</v>
      </c>
      <c r="H86" s="590"/>
      <c r="I86" s="590">
        <v>16</v>
      </c>
      <c r="J86" s="591">
        <f t="shared" si="13"/>
        <v>1</v>
      </c>
      <c r="K86" s="592">
        <f t="shared" si="14"/>
        <v>240000</v>
      </c>
      <c r="L86" s="597"/>
      <c r="M86" s="592">
        <f>K86+L86</f>
        <v>240000</v>
      </c>
    </row>
    <row r="87" spans="1:13" ht="23.25">
      <c r="A87" s="586">
        <v>1.05</v>
      </c>
      <c r="B87" s="495" t="s">
        <v>355</v>
      </c>
      <c r="C87" s="595" t="s">
        <v>32</v>
      </c>
      <c r="D87" s="588">
        <v>10</v>
      </c>
      <c r="E87" s="598">
        <v>30000</v>
      </c>
      <c r="F87" s="589">
        <f t="shared" si="11"/>
        <v>300000</v>
      </c>
      <c r="G87" s="590">
        <v>16</v>
      </c>
      <c r="H87" s="590"/>
      <c r="I87" s="590">
        <v>10</v>
      </c>
      <c r="J87" s="591">
        <f t="shared" si="13"/>
        <v>1</v>
      </c>
      <c r="K87" s="592">
        <f t="shared" si="14"/>
        <v>300000</v>
      </c>
      <c r="L87" s="597"/>
      <c r="M87" s="592">
        <f t="shared" si="15"/>
        <v>300000</v>
      </c>
    </row>
    <row r="88" spans="1:13" ht="23.25">
      <c r="A88" s="586">
        <v>1.06</v>
      </c>
      <c r="B88" s="564" t="s">
        <v>356</v>
      </c>
      <c r="C88" s="595" t="s">
        <v>32</v>
      </c>
      <c r="D88" s="588">
        <v>1</v>
      </c>
      <c r="E88" s="598">
        <v>90000</v>
      </c>
      <c r="F88" s="589">
        <f t="shared" si="11"/>
        <v>90000</v>
      </c>
      <c r="G88" s="590">
        <v>1</v>
      </c>
      <c r="H88" s="590"/>
      <c r="I88" s="590">
        <v>1</v>
      </c>
      <c r="J88" s="591">
        <f t="shared" si="13"/>
        <v>1</v>
      </c>
      <c r="K88" s="592">
        <f t="shared" si="14"/>
        <v>90000</v>
      </c>
      <c r="L88" s="597"/>
      <c r="M88" s="592">
        <f t="shared" si="15"/>
        <v>90000</v>
      </c>
    </row>
    <row r="89" spans="1:13" ht="23.25">
      <c r="A89" s="586">
        <v>1.07</v>
      </c>
      <c r="B89" s="495" t="s">
        <v>357</v>
      </c>
      <c r="C89" s="595" t="s">
        <v>32</v>
      </c>
      <c r="D89" s="588">
        <v>1</v>
      </c>
      <c r="E89" s="598">
        <v>90000</v>
      </c>
      <c r="F89" s="589">
        <f t="shared" si="11"/>
        <v>90000</v>
      </c>
      <c r="G89" s="590">
        <v>1</v>
      </c>
      <c r="H89" s="590"/>
      <c r="I89" s="590">
        <f>G89+H89</f>
        <v>1</v>
      </c>
      <c r="J89" s="591">
        <f t="shared" si="13"/>
        <v>1</v>
      </c>
      <c r="K89" s="592">
        <f t="shared" si="14"/>
        <v>90000</v>
      </c>
      <c r="L89" s="597"/>
      <c r="M89" s="592">
        <f t="shared" si="15"/>
        <v>90000</v>
      </c>
    </row>
    <row r="90" spans="1:13">
      <c r="A90" s="586">
        <v>1.08</v>
      </c>
      <c r="B90" s="564" t="s">
        <v>358</v>
      </c>
      <c r="C90" s="595" t="s">
        <v>32</v>
      </c>
      <c r="D90" s="588">
        <v>1</v>
      </c>
      <c r="E90" s="598">
        <v>10000</v>
      </c>
      <c r="F90" s="589">
        <f t="shared" si="11"/>
        <v>10000</v>
      </c>
      <c r="G90" s="590">
        <v>1</v>
      </c>
      <c r="H90" s="590"/>
      <c r="I90" s="590">
        <f>G90+H90</f>
        <v>1</v>
      </c>
      <c r="J90" s="591"/>
      <c r="K90" s="592">
        <f t="shared" si="14"/>
        <v>10000</v>
      </c>
      <c r="L90" s="597"/>
      <c r="M90" s="592"/>
    </row>
    <row r="91" spans="1:13">
      <c r="A91" s="551">
        <v>1.0900000000000001</v>
      </c>
      <c r="B91" s="564" t="s">
        <v>359</v>
      </c>
      <c r="C91" s="595" t="s">
        <v>32</v>
      </c>
      <c r="D91" s="588">
        <v>1</v>
      </c>
      <c r="E91" s="598">
        <v>6000</v>
      </c>
      <c r="F91" s="589">
        <f t="shared" si="11"/>
        <v>6000</v>
      </c>
      <c r="G91" s="590">
        <v>1</v>
      </c>
      <c r="H91" s="590"/>
      <c r="I91" s="590">
        <f t="shared" ref="I91:I108" si="16">G91+H91</f>
        <v>1</v>
      </c>
      <c r="J91" s="591">
        <f t="shared" ref="J91:J108" si="17">I91/D91</f>
        <v>1</v>
      </c>
      <c r="K91" s="592">
        <f t="shared" si="14"/>
        <v>6000</v>
      </c>
      <c r="L91" s="597"/>
      <c r="M91" s="592">
        <f t="shared" ref="M91" si="18">K91+L91</f>
        <v>6000</v>
      </c>
    </row>
    <row r="92" spans="1:13" ht="15" customHeight="1">
      <c r="A92" s="551">
        <v>1.1000000000000001</v>
      </c>
      <c r="B92" s="564" t="s">
        <v>360</v>
      </c>
      <c r="C92" s="595" t="s">
        <v>32</v>
      </c>
      <c r="D92" s="588">
        <v>1</v>
      </c>
      <c r="E92" s="598">
        <v>15000</v>
      </c>
      <c r="F92" s="589">
        <f t="shared" si="11"/>
        <v>15000</v>
      </c>
      <c r="G92" s="590">
        <v>1</v>
      </c>
      <c r="H92" s="590"/>
      <c r="I92" s="590">
        <f t="shared" si="16"/>
        <v>1</v>
      </c>
      <c r="J92" s="591">
        <f t="shared" si="17"/>
        <v>1</v>
      </c>
      <c r="K92" s="592">
        <f t="shared" si="14"/>
        <v>15000</v>
      </c>
      <c r="L92" s="597"/>
      <c r="M92" s="592">
        <f>SUM(M89:M91)</f>
        <v>96000</v>
      </c>
    </row>
    <row r="93" spans="1:13" ht="23.25">
      <c r="A93" s="551">
        <v>1.1100000000000001</v>
      </c>
      <c r="B93" s="564" t="s">
        <v>361</v>
      </c>
      <c r="C93" s="595" t="s">
        <v>32</v>
      </c>
      <c r="D93" s="588">
        <v>1</v>
      </c>
      <c r="E93" s="598">
        <v>90000</v>
      </c>
      <c r="F93" s="589">
        <f t="shared" si="11"/>
        <v>90000</v>
      </c>
      <c r="G93" s="590">
        <v>1</v>
      </c>
      <c r="H93" s="590"/>
      <c r="I93" s="590">
        <f t="shared" si="16"/>
        <v>1</v>
      </c>
      <c r="J93" s="591">
        <f t="shared" si="17"/>
        <v>1</v>
      </c>
      <c r="K93" s="592">
        <f t="shared" si="14"/>
        <v>90000</v>
      </c>
      <c r="L93" s="597"/>
      <c r="M93" s="592">
        <f t="shared" ref="M93:M94" si="19">SUM(M90:M92)</f>
        <v>102000</v>
      </c>
    </row>
    <row r="94" spans="1:13" ht="23.25">
      <c r="A94" s="551">
        <v>1.1200000000000001</v>
      </c>
      <c r="B94" s="564" t="s">
        <v>362</v>
      </c>
      <c r="C94" s="595" t="s">
        <v>32</v>
      </c>
      <c r="D94" s="588">
        <v>1</v>
      </c>
      <c r="E94" s="598">
        <v>30000</v>
      </c>
      <c r="F94" s="589">
        <f t="shared" si="11"/>
        <v>30000</v>
      </c>
      <c r="G94" s="590">
        <v>1</v>
      </c>
      <c r="H94" s="590"/>
      <c r="I94" s="590">
        <f t="shared" si="16"/>
        <v>1</v>
      </c>
      <c r="J94" s="591">
        <f t="shared" si="17"/>
        <v>1</v>
      </c>
      <c r="K94" s="592">
        <f t="shared" si="14"/>
        <v>30000</v>
      </c>
      <c r="L94" s="597"/>
      <c r="M94" s="592">
        <f t="shared" si="19"/>
        <v>204000</v>
      </c>
    </row>
    <row r="95" spans="1:13" ht="27.75" customHeight="1">
      <c r="A95" s="551">
        <v>1.1299999999999999</v>
      </c>
      <c r="B95" s="564" t="s">
        <v>363</v>
      </c>
      <c r="C95" s="595" t="s">
        <v>32</v>
      </c>
      <c r="D95" s="588">
        <v>1</v>
      </c>
      <c r="E95" s="598">
        <v>45000</v>
      </c>
      <c r="F95" s="589">
        <f t="shared" si="11"/>
        <v>45000</v>
      </c>
      <c r="G95" s="590">
        <v>1</v>
      </c>
      <c r="H95" s="590"/>
      <c r="I95" s="590">
        <f t="shared" si="16"/>
        <v>1</v>
      </c>
      <c r="J95" s="591">
        <f t="shared" si="17"/>
        <v>1</v>
      </c>
      <c r="K95" s="592">
        <f t="shared" si="14"/>
        <v>45000</v>
      </c>
      <c r="L95" s="597"/>
      <c r="M95" s="592">
        <f t="shared" ref="M95:M111" si="20">K95+L95</f>
        <v>45000</v>
      </c>
    </row>
    <row r="96" spans="1:13" ht="23.25">
      <c r="A96" s="551">
        <v>1.1399999999999999</v>
      </c>
      <c r="B96" s="564" t="s">
        <v>364</v>
      </c>
      <c r="C96" s="595" t="s">
        <v>32</v>
      </c>
      <c r="D96" s="588">
        <v>1</v>
      </c>
      <c r="E96" s="598">
        <v>20000</v>
      </c>
      <c r="F96" s="589">
        <f t="shared" si="11"/>
        <v>20000</v>
      </c>
      <c r="G96" s="590">
        <v>1</v>
      </c>
      <c r="H96" s="590"/>
      <c r="I96" s="590">
        <f t="shared" si="16"/>
        <v>1</v>
      </c>
      <c r="J96" s="591">
        <f t="shared" si="17"/>
        <v>1</v>
      </c>
      <c r="K96" s="592">
        <f t="shared" si="14"/>
        <v>20000</v>
      </c>
      <c r="L96" s="597"/>
      <c r="M96" s="592">
        <f t="shared" si="20"/>
        <v>20000</v>
      </c>
    </row>
    <row r="97" spans="1:13">
      <c r="A97" s="551">
        <v>1.1499999999999999</v>
      </c>
      <c r="B97" s="507" t="s">
        <v>284</v>
      </c>
      <c r="C97" s="595"/>
      <c r="D97" s="588"/>
      <c r="E97" s="599"/>
      <c r="F97" s="600">
        <f>SUM(F83:F96)</f>
        <v>1566000</v>
      </c>
      <c r="G97" s="601"/>
      <c r="H97" s="590"/>
      <c r="I97" s="590"/>
      <c r="J97" s="591"/>
      <c r="K97" s="602">
        <f>SUM(K83:K96)</f>
        <v>1566000</v>
      </c>
      <c r="L97" s="602"/>
      <c r="M97" s="602">
        <f>K97+L97</f>
        <v>1566000</v>
      </c>
    </row>
    <row r="98" spans="1:13">
      <c r="A98" s="603">
        <v>2</v>
      </c>
      <c r="B98" s="560" t="s">
        <v>394</v>
      </c>
      <c r="C98" s="595"/>
      <c r="D98" s="588"/>
      <c r="E98" s="598"/>
      <c r="F98" s="589"/>
      <c r="G98" s="590"/>
      <c r="H98" s="590"/>
      <c r="I98" s="590"/>
      <c r="J98" s="591"/>
      <c r="K98" s="592"/>
      <c r="L98" s="597"/>
      <c r="M98" s="592"/>
    </row>
    <row r="99" spans="1:13">
      <c r="A99" s="551">
        <v>2.0099999999999998</v>
      </c>
      <c r="B99" s="564" t="s">
        <v>395</v>
      </c>
      <c r="C99" s="595" t="s">
        <v>55</v>
      </c>
      <c r="D99" s="588">
        <v>1</v>
      </c>
      <c r="E99" s="598">
        <v>60000</v>
      </c>
      <c r="F99" s="589">
        <f t="shared" ref="F99:F108" si="21">D99*E99</f>
        <v>60000</v>
      </c>
      <c r="G99" s="590"/>
      <c r="H99" s="590">
        <v>1</v>
      </c>
      <c r="I99" s="590">
        <f t="shared" si="16"/>
        <v>1</v>
      </c>
      <c r="J99" s="591">
        <f t="shared" si="17"/>
        <v>1</v>
      </c>
      <c r="K99" s="592"/>
      <c r="L99" s="597">
        <f t="shared" ref="L99:L108" si="22">I99*E99</f>
        <v>60000</v>
      </c>
      <c r="M99" s="592">
        <f t="shared" ref="M99:M109" si="23">K99+L99</f>
        <v>60000</v>
      </c>
    </row>
    <row r="100" spans="1:13">
      <c r="A100" s="551">
        <v>2.02</v>
      </c>
      <c r="B100" s="564" t="s">
        <v>396</v>
      </c>
      <c r="C100" s="595" t="s">
        <v>330</v>
      </c>
      <c r="D100" s="588">
        <v>660</v>
      </c>
      <c r="E100" s="598">
        <v>1300</v>
      </c>
      <c r="F100" s="589">
        <f t="shared" si="21"/>
        <v>858000</v>
      </c>
      <c r="G100" s="590"/>
      <c r="H100" s="590">
        <v>660</v>
      </c>
      <c r="I100" s="590">
        <f t="shared" si="16"/>
        <v>660</v>
      </c>
      <c r="J100" s="591">
        <f t="shared" si="17"/>
        <v>1</v>
      </c>
      <c r="K100" s="592"/>
      <c r="L100" s="597">
        <f t="shared" si="22"/>
        <v>858000</v>
      </c>
      <c r="M100" s="592">
        <f t="shared" si="23"/>
        <v>858000</v>
      </c>
    </row>
    <row r="101" spans="1:13">
      <c r="A101" s="551">
        <v>2.0299999999999998</v>
      </c>
      <c r="B101" s="564" t="s">
        <v>397</v>
      </c>
      <c r="C101" s="595" t="s">
        <v>398</v>
      </c>
      <c r="D101" s="588">
        <v>660</v>
      </c>
      <c r="E101" s="598">
        <v>153</v>
      </c>
      <c r="F101" s="589">
        <f t="shared" si="21"/>
        <v>100980</v>
      </c>
      <c r="G101" s="590"/>
      <c r="H101" s="590">
        <v>660</v>
      </c>
      <c r="I101" s="590">
        <f t="shared" si="16"/>
        <v>660</v>
      </c>
      <c r="J101" s="591">
        <f t="shared" si="17"/>
        <v>1</v>
      </c>
      <c r="K101" s="592"/>
      <c r="L101" s="597">
        <f t="shared" si="22"/>
        <v>100980</v>
      </c>
      <c r="M101" s="592">
        <f t="shared" si="23"/>
        <v>100980</v>
      </c>
    </row>
    <row r="102" spans="1:13">
      <c r="A102" s="551">
        <v>2.04</v>
      </c>
      <c r="B102" s="564" t="s">
        <v>399</v>
      </c>
      <c r="C102" s="595" t="s">
        <v>330</v>
      </c>
      <c r="D102" s="588">
        <v>660</v>
      </c>
      <c r="E102" s="598">
        <v>210</v>
      </c>
      <c r="F102" s="589">
        <f t="shared" si="21"/>
        <v>138600</v>
      </c>
      <c r="G102" s="590"/>
      <c r="H102" s="590">
        <v>660</v>
      </c>
      <c r="I102" s="590">
        <f t="shared" si="16"/>
        <v>660</v>
      </c>
      <c r="J102" s="591">
        <f t="shared" si="17"/>
        <v>1</v>
      </c>
      <c r="K102" s="592"/>
      <c r="L102" s="597">
        <f t="shared" si="22"/>
        <v>138600</v>
      </c>
      <c r="M102" s="592">
        <f t="shared" si="23"/>
        <v>138600</v>
      </c>
    </row>
    <row r="103" spans="1:13">
      <c r="A103" s="551">
        <v>2.0499999999999998</v>
      </c>
      <c r="B103" s="564" t="s">
        <v>400</v>
      </c>
      <c r="C103" s="595" t="s">
        <v>330</v>
      </c>
      <c r="D103" s="588">
        <v>660</v>
      </c>
      <c r="E103" s="598">
        <v>590</v>
      </c>
      <c r="F103" s="589">
        <f t="shared" si="21"/>
        <v>389400</v>
      </c>
      <c r="G103" s="590"/>
      <c r="H103" s="590">
        <v>660</v>
      </c>
      <c r="I103" s="590">
        <f t="shared" si="16"/>
        <v>660</v>
      </c>
      <c r="J103" s="591">
        <f t="shared" si="17"/>
        <v>1</v>
      </c>
      <c r="K103" s="592"/>
      <c r="L103" s="597">
        <f t="shared" si="22"/>
        <v>389400</v>
      </c>
      <c r="M103" s="592">
        <f t="shared" si="23"/>
        <v>389400</v>
      </c>
    </row>
    <row r="104" spans="1:13" ht="23.25">
      <c r="A104" s="551">
        <v>2.06</v>
      </c>
      <c r="B104" s="564" t="s">
        <v>401</v>
      </c>
      <c r="C104" s="595" t="s">
        <v>52</v>
      </c>
      <c r="D104" s="588">
        <v>1</v>
      </c>
      <c r="E104" s="598">
        <v>10000</v>
      </c>
      <c r="F104" s="589">
        <f t="shared" si="21"/>
        <v>10000</v>
      </c>
      <c r="G104" s="590"/>
      <c r="H104" s="590">
        <v>1</v>
      </c>
      <c r="I104" s="590">
        <f t="shared" si="16"/>
        <v>1</v>
      </c>
      <c r="J104" s="591">
        <f t="shared" si="17"/>
        <v>1</v>
      </c>
      <c r="K104" s="592"/>
      <c r="L104" s="597">
        <f t="shared" si="22"/>
        <v>10000</v>
      </c>
      <c r="M104" s="592">
        <f t="shared" si="23"/>
        <v>10000</v>
      </c>
    </row>
    <row r="105" spans="1:13" ht="23.25">
      <c r="A105" s="551">
        <v>2.0699999999999998</v>
      </c>
      <c r="B105" s="564" t="s">
        <v>337</v>
      </c>
      <c r="C105" s="595" t="s">
        <v>52</v>
      </c>
      <c r="D105" s="588">
        <v>1</v>
      </c>
      <c r="E105" s="598">
        <v>15000</v>
      </c>
      <c r="F105" s="589">
        <f t="shared" si="21"/>
        <v>15000</v>
      </c>
      <c r="G105" s="590"/>
      <c r="H105" s="590">
        <v>1</v>
      </c>
      <c r="I105" s="590">
        <f t="shared" si="16"/>
        <v>1</v>
      </c>
      <c r="J105" s="591">
        <f t="shared" si="17"/>
        <v>1</v>
      </c>
      <c r="K105" s="592"/>
      <c r="L105" s="597">
        <f t="shared" si="22"/>
        <v>15000</v>
      </c>
      <c r="M105" s="592">
        <f t="shared" si="23"/>
        <v>15000</v>
      </c>
    </row>
    <row r="106" spans="1:13">
      <c r="A106" s="551">
        <v>2.08</v>
      </c>
      <c r="B106" s="564" t="s">
        <v>402</v>
      </c>
      <c r="C106" s="595" t="s">
        <v>52</v>
      </c>
      <c r="D106" s="588">
        <v>1</v>
      </c>
      <c r="E106" s="598">
        <v>1500</v>
      </c>
      <c r="F106" s="589">
        <f t="shared" si="21"/>
        <v>1500</v>
      </c>
      <c r="G106" s="590"/>
      <c r="H106" s="590">
        <v>1</v>
      </c>
      <c r="I106" s="590">
        <f t="shared" si="16"/>
        <v>1</v>
      </c>
      <c r="J106" s="591">
        <f t="shared" si="17"/>
        <v>1</v>
      </c>
      <c r="K106" s="592"/>
      <c r="L106" s="597">
        <f t="shared" si="22"/>
        <v>1500</v>
      </c>
      <c r="M106" s="592">
        <f t="shared" si="23"/>
        <v>1500</v>
      </c>
    </row>
    <row r="107" spans="1:13">
      <c r="A107" s="551">
        <v>2.09</v>
      </c>
      <c r="B107" s="564" t="s">
        <v>403</v>
      </c>
      <c r="C107" s="595" t="s">
        <v>52</v>
      </c>
      <c r="D107" s="588">
        <v>3</v>
      </c>
      <c r="E107" s="598">
        <v>15000</v>
      </c>
      <c r="F107" s="589">
        <f t="shared" si="21"/>
        <v>45000</v>
      </c>
      <c r="G107" s="590"/>
      <c r="H107" s="590">
        <v>3</v>
      </c>
      <c r="I107" s="590">
        <f t="shared" si="16"/>
        <v>3</v>
      </c>
      <c r="J107" s="591">
        <f t="shared" si="17"/>
        <v>1</v>
      </c>
      <c r="K107" s="592"/>
      <c r="L107" s="597">
        <f t="shared" si="22"/>
        <v>45000</v>
      </c>
      <c r="M107" s="592">
        <f t="shared" si="23"/>
        <v>45000</v>
      </c>
    </row>
    <row r="108" spans="1:13">
      <c r="A108" s="551">
        <v>2.1</v>
      </c>
      <c r="B108" s="564" t="s">
        <v>404</v>
      </c>
      <c r="C108" s="595" t="s">
        <v>52</v>
      </c>
      <c r="D108" s="588">
        <v>3</v>
      </c>
      <c r="E108" s="598">
        <v>90000</v>
      </c>
      <c r="F108" s="589">
        <f t="shared" si="21"/>
        <v>270000</v>
      </c>
      <c r="G108" s="590"/>
      <c r="H108" s="590">
        <v>3</v>
      </c>
      <c r="I108" s="590">
        <f t="shared" si="16"/>
        <v>3</v>
      </c>
      <c r="J108" s="591">
        <f t="shared" si="17"/>
        <v>1</v>
      </c>
      <c r="K108" s="592"/>
      <c r="L108" s="597">
        <f t="shared" si="22"/>
        <v>270000</v>
      </c>
      <c r="M108" s="592">
        <f t="shared" si="23"/>
        <v>270000</v>
      </c>
    </row>
    <row r="109" spans="1:13">
      <c r="A109" s="551"/>
      <c r="B109" s="560" t="s">
        <v>405</v>
      </c>
      <c r="C109" s="604"/>
      <c r="D109" s="605"/>
      <c r="E109" s="606"/>
      <c r="F109" s="600">
        <f>SUM(F99:F108)</f>
        <v>1888480</v>
      </c>
      <c r="G109" s="590"/>
      <c r="H109" s="590"/>
      <c r="I109" s="590"/>
      <c r="J109" s="591"/>
      <c r="K109" s="592"/>
      <c r="L109" s="607">
        <f>SUM(L99:L108)</f>
        <v>1888480</v>
      </c>
      <c r="M109" s="602">
        <f t="shared" si="23"/>
        <v>1888480</v>
      </c>
    </row>
    <row r="110" spans="1:13">
      <c r="A110" s="474"/>
      <c r="B110" s="577" t="s">
        <v>365</v>
      </c>
      <c r="C110" s="576"/>
      <c r="D110" s="576"/>
      <c r="E110" s="576"/>
      <c r="F110" s="572">
        <f>F97+F109</f>
        <v>3454480</v>
      </c>
      <c r="G110" s="576"/>
      <c r="H110" s="576"/>
      <c r="I110" s="576"/>
      <c r="J110" s="576"/>
      <c r="K110" s="608">
        <f>K97</f>
        <v>1566000</v>
      </c>
      <c r="L110" s="608">
        <f>L109</f>
        <v>1888480</v>
      </c>
      <c r="M110" s="609">
        <f>K110+L110</f>
        <v>3454480</v>
      </c>
    </row>
    <row r="111" spans="1:13">
      <c r="A111" s="474"/>
      <c r="B111" s="577" t="s">
        <v>82</v>
      </c>
      <c r="C111" s="576"/>
      <c r="D111" s="576"/>
      <c r="E111" s="576"/>
      <c r="F111" s="572">
        <f>F77</f>
        <v>13418060.841188001</v>
      </c>
      <c r="G111" s="576"/>
      <c r="H111" s="576"/>
      <c r="I111" s="576"/>
      <c r="J111" s="576"/>
      <c r="K111" s="608">
        <f>K73+K13</f>
        <v>252552</v>
      </c>
      <c r="L111" s="608">
        <f>L68+L10</f>
        <v>172638.66999999998</v>
      </c>
      <c r="M111" s="609">
        <f t="shared" si="20"/>
        <v>425190.67</v>
      </c>
    </row>
    <row r="112" spans="1:13">
      <c r="A112" s="474"/>
      <c r="B112" s="610" t="s">
        <v>83</v>
      </c>
      <c r="C112" s="576"/>
      <c r="D112" s="576"/>
      <c r="E112" s="576"/>
      <c r="F112" s="572">
        <f>F68+F57+F40+F27</f>
        <v>12933670.191188</v>
      </c>
      <c r="G112" s="576"/>
      <c r="H112" s="576"/>
      <c r="I112" s="576"/>
      <c r="J112" s="576"/>
      <c r="K112" s="608"/>
      <c r="L112" s="608"/>
      <c r="M112" s="609"/>
    </row>
    <row r="113" spans="1:13">
      <c r="A113" s="474"/>
      <c r="B113" s="471" t="s">
        <v>85</v>
      </c>
      <c r="C113" s="576"/>
      <c r="D113" s="576"/>
      <c r="E113" s="576"/>
      <c r="F113" s="572">
        <f>F111-F112</f>
        <v>484390.65000000037</v>
      </c>
      <c r="G113" s="576"/>
      <c r="H113" s="576"/>
      <c r="I113" s="576"/>
      <c r="J113" s="576"/>
      <c r="K113" s="608">
        <f>SUM(K110:K111)</f>
        <v>1818552</v>
      </c>
      <c r="L113" s="608">
        <f>SUM(L110:L111)</f>
        <v>2061118.67</v>
      </c>
      <c r="M113" s="609">
        <f>K113+L113</f>
        <v>3879670.67</v>
      </c>
    </row>
    <row r="114" spans="1:13">
      <c r="A114" s="474"/>
      <c r="B114" s="474"/>
      <c r="C114" s="474"/>
      <c r="D114" s="474"/>
      <c r="E114" s="474"/>
      <c r="F114" s="572"/>
      <c r="G114" s="474"/>
      <c r="H114" s="474"/>
      <c r="I114" s="474"/>
      <c r="J114" s="474"/>
      <c r="K114" s="474"/>
      <c r="L114" s="474"/>
      <c r="M114" s="474"/>
    </row>
    <row r="115" spans="1:13">
      <c r="A115" s="474"/>
      <c r="B115" s="611" t="s">
        <v>406</v>
      </c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</row>
    <row r="116" spans="1:13">
      <c r="A116" s="474"/>
      <c r="B116" s="611" t="s">
        <v>407</v>
      </c>
      <c r="C116" s="612"/>
      <c r="D116" s="612"/>
      <c r="E116" s="612"/>
      <c r="F116" s="576"/>
      <c r="G116" s="576"/>
      <c r="H116" s="576"/>
      <c r="I116" s="576"/>
      <c r="J116" s="576"/>
      <c r="K116" s="576"/>
      <c r="L116" s="576"/>
      <c r="M116" s="576"/>
    </row>
    <row r="117" spans="1:13">
      <c r="A117" s="474"/>
      <c r="B117" s="576"/>
      <c r="C117" s="576"/>
      <c r="D117" s="576"/>
      <c r="E117" s="576"/>
      <c r="F117" s="576"/>
      <c r="G117" s="576"/>
      <c r="H117" s="576"/>
      <c r="I117" s="576"/>
      <c r="J117" s="576"/>
      <c r="K117" s="576"/>
      <c r="L117" s="576"/>
      <c r="M117" s="576"/>
    </row>
    <row r="118" spans="1:13">
      <c r="A118" s="474"/>
      <c r="B118" s="576"/>
      <c r="C118" s="576"/>
      <c r="D118" s="576"/>
      <c r="E118" s="576"/>
      <c r="F118" s="576"/>
      <c r="G118" s="576"/>
      <c r="H118" s="576"/>
      <c r="I118" s="576"/>
      <c r="J118" s="576"/>
      <c r="K118" s="576"/>
      <c r="L118" s="576"/>
      <c r="M118" s="576"/>
    </row>
    <row r="119" spans="1:13">
      <c r="A119" s="474"/>
      <c r="B119" s="576"/>
      <c r="C119" s="576"/>
      <c r="D119" s="576"/>
      <c r="E119" s="576"/>
      <c r="F119" s="576"/>
      <c r="G119" s="576"/>
      <c r="H119" s="576"/>
      <c r="I119" s="576"/>
      <c r="J119" s="576"/>
      <c r="K119" s="576"/>
      <c r="L119" s="576"/>
      <c r="M119" s="576"/>
    </row>
    <row r="120" spans="1:13">
      <c r="A120" s="474"/>
      <c r="B120" s="576"/>
      <c r="C120" s="576"/>
      <c r="D120" s="576"/>
      <c r="E120" s="576"/>
      <c r="F120" s="576"/>
      <c r="G120" s="576"/>
      <c r="H120" s="576"/>
      <c r="I120" s="576"/>
      <c r="J120" s="576"/>
      <c r="K120" s="576"/>
      <c r="L120" s="576"/>
      <c r="M120" s="576"/>
    </row>
    <row r="121" spans="1:13">
      <c r="A121" s="474"/>
      <c r="B121" s="576"/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</row>
    <row r="122" spans="1:13">
      <c r="A122" s="474"/>
      <c r="B122" s="576"/>
      <c r="C122" s="576"/>
      <c r="D122" s="576"/>
      <c r="E122" s="576"/>
      <c r="F122" s="576"/>
      <c r="G122" s="576"/>
      <c r="H122" s="576"/>
      <c r="I122" s="576"/>
      <c r="J122" s="576"/>
      <c r="K122" s="576"/>
      <c r="L122" s="576"/>
      <c r="M122" s="576"/>
    </row>
    <row r="123" spans="1:13">
      <c r="A123" s="474"/>
      <c r="B123" s="576"/>
      <c r="C123" s="576"/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</row>
    <row r="124" spans="1:13">
      <c r="A124" s="474"/>
      <c r="B124" s="576"/>
      <c r="C124" s="576"/>
      <c r="D124" s="576"/>
      <c r="E124" s="576"/>
      <c r="F124" s="576"/>
      <c r="G124" s="576"/>
      <c r="H124" s="576"/>
      <c r="I124" s="576"/>
      <c r="J124" s="576"/>
      <c r="K124" s="576"/>
      <c r="L124" s="576"/>
      <c r="M124" s="576"/>
    </row>
    <row r="125" spans="1:13">
      <c r="A125" s="474"/>
      <c r="B125" s="576"/>
      <c r="C125" s="576"/>
      <c r="D125" s="576"/>
      <c r="E125" s="576"/>
      <c r="F125" s="576"/>
      <c r="G125" s="576"/>
      <c r="H125" s="576"/>
      <c r="I125" s="576"/>
      <c r="J125" s="576"/>
      <c r="K125" s="576"/>
      <c r="L125" s="576"/>
      <c r="M125" s="576"/>
    </row>
    <row r="126" spans="1:13">
      <c r="A126" s="474"/>
      <c r="B126" s="576"/>
      <c r="C126" s="576"/>
      <c r="D126" s="576"/>
      <c r="E126" s="576"/>
      <c r="F126" s="576"/>
      <c r="G126" s="576"/>
      <c r="H126" s="576"/>
      <c r="I126" s="576"/>
      <c r="J126" s="576"/>
      <c r="K126" s="576"/>
      <c r="L126" s="576"/>
      <c r="M126" s="576"/>
    </row>
    <row r="127" spans="1:13">
      <c r="A127" s="474"/>
      <c r="B127" s="576"/>
      <c r="C127" s="576"/>
      <c r="D127" s="576"/>
      <c r="E127" s="576"/>
      <c r="F127" s="576"/>
      <c r="G127" s="576"/>
      <c r="H127" s="576"/>
      <c r="I127" s="576"/>
      <c r="J127" s="576"/>
      <c r="K127" s="576"/>
      <c r="L127" s="576"/>
      <c r="M127" s="576"/>
    </row>
    <row r="128" spans="1:13">
      <c r="A128" s="474"/>
      <c r="B128" s="576"/>
      <c r="C128" s="576"/>
      <c r="D128" s="576"/>
      <c r="E128" s="576"/>
      <c r="F128" s="576"/>
      <c r="G128" s="576"/>
      <c r="H128" s="576"/>
      <c r="I128" s="576"/>
      <c r="J128" s="576"/>
      <c r="K128" s="576"/>
      <c r="L128" s="576"/>
      <c r="M128" s="576"/>
    </row>
    <row r="129" spans="1:13">
      <c r="A129" s="474"/>
      <c r="B129" s="576"/>
      <c r="C129" s="576"/>
      <c r="D129" s="576"/>
      <c r="E129" s="576"/>
      <c r="F129" s="576"/>
      <c r="G129" s="576"/>
      <c r="H129" s="576"/>
      <c r="I129" s="576"/>
      <c r="J129" s="576"/>
      <c r="K129" s="576"/>
      <c r="L129" s="576"/>
      <c r="M129" s="576"/>
    </row>
    <row r="130" spans="1:13">
      <c r="A130" s="474"/>
      <c r="B130" s="576"/>
      <c r="C130" s="576"/>
      <c r="D130" s="576"/>
      <c r="E130" s="576"/>
      <c r="F130" s="576"/>
      <c r="G130" s="576"/>
      <c r="H130" s="576"/>
      <c r="I130" s="576"/>
      <c r="J130" s="576"/>
      <c r="K130" s="576"/>
      <c r="L130" s="576"/>
      <c r="M130" s="576"/>
    </row>
    <row r="131" spans="1:13">
      <c r="A131" s="474"/>
      <c r="B131" s="576"/>
      <c r="C131" s="576"/>
      <c r="D131" s="576"/>
      <c r="E131" s="576"/>
      <c r="F131" s="576"/>
      <c r="G131" s="576"/>
      <c r="H131" s="576"/>
      <c r="I131" s="576"/>
      <c r="J131" s="576"/>
      <c r="K131" s="576"/>
      <c r="L131" s="576"/>
      <c r="M131" s="576"/>
    </row>
    <row r="132" spans="1:13">
      <c r="A132" s="474"/>
      <c r="B132" s="576"/>
      <c r="C132" s="576"/>
      <c r="D132" s="576"/>
      <c r="E132" s="576"/>
      <c r="F132" s="576"/>
      <c r="G132" s="576"/>
      <c r="H132" s="576"/>
      <c r="I132" s="576"/>
      <c r="J132" s="576"/>
      <c r="K132" s="576"/>
      <c r="L132" s="576"/>
      <c r="M132" s="576"/>
    </row>
    <row r="133" spans="1:13">
      <c r="A133" s="474"/>
      <c r="B133" s="576"/>
      <c r="C133" s="576"/>
      <c r="D133" s="576"/>
      <c r="E133" s="576"/>
      <c r="F133" s="576"/>
      <c r="G133" s="576"/>
      <c r="H133" s="576"/>
      <c r="I133" s="576"/>
      <c r="J133" s="576"/>
      <c r="K133" s="576"/>
      <c r="L133" s="576"/>
      <c r="M133" s="576"/>
    </row>
    <row r="134" spans="1:13">
      <c r="A134" s="474"/>
      <c r="B134" s="576"/>
      <c r="C134" s="576"/>
      <c r="D134" s="576"/>
      <c r="E134" s="576"/>
      <c r="F134" s="576"/>
      <c r="G134" s="576"/>
      <c r="H134" s="576"/>
      <c r="I134" s="576"/>
      <c r="J134" s="576"/>
      <c r="K134" s="576"/>
      <c r="L134" s="576"/>
      <c r="M134" s="576"/>
    </row>
    <row r="135" spans="1:13">
      <c r="A135" s="474"/>
      <c r="B135" s="576"/>
      <c r="C135" s="576"/>
      <c r="D135" s="576"/>
      <c r="E135" s="576"/>
      <c r="F135" s="576"/>
      <c r="G135" s="576"/>
      <c r="H135" s="576"/>
      <c r="I135" s="576"/>
      <c r="J135" s="576"/>
      <c r="K135" s="576"/>
      <c r="L135" s="576"/>
      <c r="M135" s="576"/>
    </row>
    <row r="136" spans="1:13">
      <c r="A136" s="474"/>
      <c r="B136" s="576"/>
      <c r="C136" s="576"/>
      <c r="D136" s="576"/>
      <c r="E136" s="576"/>
      <c r="F136" s="576"/>
      <c r="G136" s="576"/>
      <c r="H136" s="576"/>
      <c r="I136" s="576"/>
      <c r="J136" s="576"/>
      <c r="K136" s="576"/>
      <c r="L136" s="576"/>
      <c r="M136" s="576"/>
    </row>
    <row r="137" spans="1:13">
      <c r="A137" s="474"/>
      <c r="B137" s="576"/>
      <c r="C137" s="576"/>
      <c r="D137" s="576"/>
      <c r="E137" s="576"/>
      <c r="F137" s="576"/>
      <c r="G137" s="576"/>
      <c r="H137" s="576"/>
      <c r="I137" s="576"/>
      <c r="J137" s="576"/>
      <c r="K137" s="576"/>
      <c r="L137" s="576"/>
      <c r="M137" s="576"/>
    </row>
    <row r="138" spans="1:13">
      <c r="A138" s="474"/>
      <c r="B138" s="576"/>
      <c r="C138" s="576"/>
      <c r="D138" s="576"/>
      <c r="E138" s="576"/>
      <c r="F138" s="576"/>
      <c r="G138" s="576"/>
      <c r="H138" s="576"/>
      <c r="I138" s="576"/>
      <c r="J138" s="576"/>
      <c r="K138" s="576"/>
      <c r="L138" s="576"/>
      <c r="M138" s="576"/>
    </row>
    <row r="139" spans="1:13">
      <c r="A139" s="474"/>
      <c r="B139" s="576"/>
      <c r="C139" s="576"/>
      <c r="D139" s="576"/>
      <c r="E139" s="576"/>
      <c r="F139" s="576"/>
      <c r="G139" s="576"/>
      <c r="H139" s="576"/>
      <c r="I139" s="576"/>
      <c r="J139" s="576"/>
      <c r="K139" s="576"/>
      <c r="L139" s="576"/>
      <c r="M139" s="576"/>
    </row>
    <row r="140" spans="1:13">
      <c r="A140" s="474"/>
      <c r="B140" s="576"/>
      <c r="C140" s="576"/>
      <c r="D140" s="576"/>
      <c r="E140" s="576"/>
      <c r="F140" s="576"/>
      <c r="G140" s="576"/>
      <c r="H140" s="576"/>
      <c r="I140" s="576"/>
      <c r="J140" s="576"/>
      <c r="K140" s="576"/>
      <c r="L140" s="576"/>
      <c r="M140" s="576"/>
    </row>
    <row r="141" spans="1:13">
      <c r="A141" s="474"/>
      <c r="B141" s="576"/>
      <c r="C141" s="576"/>
      <c r="D141" s="576"/>
      <c r="E141" s="576"/>
      <c r="F141" s="576"/>
      <c r="G141" s="576"/>
      <c r="H141" s="576"/>
      <c r="I141" s="576"/>
      <c r="J141" s="576"/>
      <c r="K141" s="576"/>
      <c r="L141" s="576"/>
      <c r="M141" s="576"/>
    </row>
    <row r="142" spans="1:13">
      <c r="A142" s="474"/>
      <c r="B142" s="576"/>
      <c r="C142" s="576"/>
      <c r="D142" s="576"/>
      <c r="E142" s="576"/>
      <c r="F142" s="576"/>
      <c r="G142" s="576"/>
      <c r="H142" s="576"/>
      <c r="I142" s="576"/>
      <c r="J142" s="576"/>
      <c r="K142" s="576"/>
      <c r="L142" s="576"/>
      <c r="M142" s="576"/>
    </row>
    <row r="143" spans="1:13">
      <c r="A143" s="474"/>
      <c r="B143" s="576"/>
      <c r="C143" s="576"/>
      <c r="D143" s="576"/>
      <c r="E143" s="576"/>
      <c r="F143" s="576"/>
      <c r="G143" s="576"/>
      <c r="H143" s="576"/>
      <c r="I143" s="576"/>
      <c r="J143" s="576"/>
      <c r="K143" s="576"/>
      <c r="L143" s="576"/>
      <c r="M143" s="576"/>
    </row>
    <row r="144" spans="1:13">
      <c r="A144" s="474"/>
      <c r="B144" s="576"/>
      <c r="C144" s="576"/>
      <c r="D144" s="576"/>
      <c r="E144" s="576"/>
      <c r="F144" s="576"/>
      <c r="G144" s="576"/>
      <c r="H144" s="576"/>
      <c r="I144" s="576"/>
      <c r="J144" s="576"/>
      <c r="K144" s="576"/>
      <c r="L144" s="576"/>
      <c r="M144" s="576"/>
    </row>
    <row r="145" spans="1:13">
      <c r="A145" s="474"/>
      <c r="B145" s="576"/>
      <c r="C145" s="576"/>
      <c r="D145" s="576"/>
      <c r="E145" s="576"/>
      <c r="F145" s="576"/>
      <c r="G145" s="576"/>
      <c r="H145" s="576"/>
      <c r="I145" s="576"/>
      <c r="J145" s="576"/>
      <c r="K145" s="576"/>
      <c r="L145" s="576"/>
      <c r="M145" s="576"/>
    </row>
    <row r="146" spans="1:13">
      <c r="A146" s="474"/>
      <c r="B146" s="576"/>
      <c r="C146" s="576"/>
      <c r="D146" s="576"/>
      <c r="E146" s="576"/>
      <c r="F146" s="576"/>
      <c r="G146" s="576"/>
      <c r="H146" s="576"/>
      <c r="I146" s="576"/>
      <c r="J146" s="576"/>
      <c r="K146" s="576"/>
      <c r="L146" s="576"/>
      <c r="M146" s="576"/>
    </row>
    <row r="147" spans="1:13">
      <c r="A147" s="474"/>
      <c r="B147" s="576"/>
      <c r="C147" s="576"/>
      <c r="D147" s="576"/>
      <c r="E147" s="576"/>
      <c r="F147" s="576"/>
      <c r="G147" s="576"/>
      <c r="H147" s="576"/>
      <c r="I147" s="576"/>
      <c r="J147" s="576"/>
      <c r="K147" s="576"/>
      <c r="L147" s="576"/>
      <c r="M147" s="576"/>
    </row>
    <row r="148" spans="1:13">
      <c r="A148" s="474"/>
      <c r="B148" s="576"/>
      <c r="C148" s="576"/>
      <c r="D148" s="576"/>
      <c r="E148" s="576"/>
      <c r="F148" s="576"/>
      <c r="G148" s="576"/>
      <c r="H148" s="576"/>
      <c r="I148" s="576"/>
      <c r="J148" s="576"/>
      <c r="K148" s="576"/>
      <c r="L148" s="576"/>
      <c r="M148" s="576"/>
    </row>
    <row r="149" spans="1:13">
      <c r="A149" s="474"/>
      <c r="B149" s="576"/>
      <c r="C149" s="576"/>
      <c r="D149" s="576"/>
      <c r="E149" s="576"/>
      <c r="F149" s="576"/>
      <c r="G149" s="576"/>
      <c r="H149" s="576"/>
      <c r="I149" s="576"/>
      <c r="J149" s="576"/>
      <c r="K149" s="576"/>
      <c r="L149" s="576"/>
      <c r="M149" s="576"/>
    </row>
    <row r="150" spans="1:13">
      <c r="A150" s="474"/>
      <c r="B150" s="576"/>
      <c r="C150" s="576"/>
      <c r="D150" s="576"/>
      <c r="E150" s="576"/>
      <c r="F150" s="576"/>
      <c r="G150" s="576"/>
      <c r="H150" s="576"/>
      <c r="I150" s="576"/>
      <c r="J150" s="576"/>
      <c r="K150" s="576"/>
      <c r="L150" s="576"/>
      <c r="M150" s="576"/>
    </row>
    <row r="151" spans="1:13">
      <c r="A151" s="474"/>
      <c r="B151" s="576"/>
      <c r="C151" s="576"/>
      <c r="D151" s="576"/>
      <c r="E151" s="576"/>
      <c r="F151" s="576"/>
      <c r="G151" s="576"/>
      <c r="H151" s="576"/>
      <c r="I151" s="576"/>
      <c r="J151" s="576"/>
      <c r="K151" s="576"/>
      <c r="L151" s="576"/>
      <c r="M151" s="576"/>
    </row>
    <row r="152" spans="1:13">
      <c r="A152" s="474"/>
      <c r="B152" s="576"/>
      <c r="C152" s="576"/>
      <c r="D152" s="576"/>
      <c r="E152" s="576"/>
      <c r="F152" s="576"/>
      <c r="G152" s="576"/>
      <c r="H152" s="576"/>
      <c r="I152" s="576"/>
      <c r="J152" s="576"/>
      <c r="K152" s="576"/>
      <c r="L152" s="576"/>
      <c r="M152" s="576"/>
    </row>
    <row r="153" spans="1:13">
      <c r="A153" s="474"/>
      <c r="B153" s="576"/>
      <c r="C153" s="576"/>
      <c r="D153" s="576"/>
      <c r="E153" s="576"/>
      <c r="F153" s="576"/>
      <c r="G153" s="576"/>
      <c r="H153" s="576"/>
      <c r="I153" s="576"/>
      <c r="J153" s="576"/>
      <c r="K153" s="576"/>
      <c r="L153" s="576"/>
      <c r="M153" s="576"/>
    </row>
    <row r="154" spans="1:13">
      <c r="A154" s="474"/>
      <c r="B154" s="576"/>
      <c r="C154" s="576"/>
      <c r="D154" s="576"/>
      <c r="E154" s="576"/>
      <c r="F154" s="576"/>
      <c r="G154" s="576"/>
      <c r="H154" s="576"/>
      <c r="I154" s="576"/>
      <c r="J154" s="576"/>
      <c r="K154" s="576"/>
      <c r="L154" s="576"/>
      <c r="M154" s="576"/>
    </row>
    <row r="155" spans="1:13">
      <c r="A155" s="474"/>
      <c r="B155" s="576"/>
      <c r="C155" s="576"/>
      <c r="D155" s="576"/>
      <c r="E155" s="576"/>
      <c r="F155" s="576"/>
      <c r="G155" s="576"/>
      <c r="H155" s="576"/>
      <c r="I155" s="576"/>
      <c r="J155" s="576"/>
      <c r="K155" s="576"/>
      <c r="L155" s="576"/>
      <c r="M155" s="576"/>
    </row>
    <row r="156" spans="1:13">
      <c r="A156" s="474"/>
      <c r="B156" s="576"/>
      <c r="C156" s="576"/>
      <c r="D156" s="576"/>
      <c r="E156" s="576"/>
      <c r="F156" s="576"/>
      <c r="G156" s="576"/>
      <c r="H156" s="576"/>
      <c r="I156" s="576"/>
      <c r="J156" s="576"/>
      <c r="K156" s="576"/>
      <c r="L156" s="576"/>
      <c r="M156" s="576"/>
    </row>
    <row r="157" spans="1:13">
      <c r="A157" s="474"/>
      <c r="B157" s="576"/>
      <c r="C157" s="576"/>
      <c r="D157" s="576"/>
      <c r="E157" s="576"/>
      <c r="F157" s="576"/>
      <c r="G157" s="576"/>
      <c r="H157" s="576"/>
      <c r="I157" s="576"/>
      <c r="J157" s="576"/>
      <c r="K157" s="576"/>
      <c r="L157" s="576"/>
      <c r="M157" s="576"/>
    </row>
    <row r="158" spans="1:13">
      <c r="A158" s="474"/>
      <c r="B158" s="576"/>
      <c r="C158" s="576"/>
      <c r="D158" s="576"/>
      <c r="E158" s="576"/>
      <c r="F158" s="576"/>
      <c r="G158" s="576"/>
      <c r="H158" s="576"/>
      <c r="I158" s="576"/>
      <c r="J158" s="576"/>
      <c r="K158" s="576"/>
      <c r="L158" s="576"/>
      <c r="M158" s="576"/>
    </row>
    <row r="159" spans="1:13">
      <c r="A159" s="474"/>
      <c r="B159" s="576"/>
      <c r="C159" s="576"/>
      <c r="D159" s="576"/>
      <c r="E159" s="576"/>
      <c r="F159" s="576"/>
      <c r="G159" s="576"/>
      <c r="H159" s="576"/>
      <c r="I159" s="576"/>
      <c r="J159" s="576"/>
      <c r="K159" s="576"/>
      <c r="L159" s="576"/>
      <c r="M159" s="576"/>
    </row>
    <row r="160" spans="1:13">
      <c r="A160" s="474"/>
      <c r="B160" s="576"/>
      <c r="C160" s="576"/>
      <c r="D160" s="576"/>
      <c r="E160" s="576"/>
      <c r="F160" s="576"/>
      <c r="G160" s="576"/>
      <c r="H160" s="576"/>
      <c r="I160" s="576"/>
      <c r="J160" s="576"/>
      <c r="K160" s="576"/>
      <c r="L160" s="576"/>
      <c r="M160" s="576"/>
    </row>
    <row r="161" spans="1:13">
      <c r="A161" s="474"/>
      <c r="B161" s="576"/>
      <c r="C161" s="576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</row>
    <row r="162" spans="1:13">
      <c r="A162" s="474"/>
      <c r="B162" s="576"/>
      <c r="C162" s="576"/>
      <c r="D162" s="576"/>
      <c r="E162" s="576"/>
      <c r="F162" s="576"/>
      <c r="G162" s="576"/>
      <c r="H162" s="576"/>
      <c r="I162" s="576"/>
      <c r="J162" s="576"/>
      <c r="K162" s="576"/>
      <c r="L162" s="576"/>
      <c r="M162" s="576"/>
    </row>
    <row r="163" spans="1:13">
      <c r="A163" s="474"/>
      <c r="B163" s="576"/>
      <c r="C163" s="576"/>
      <c r="D163" s="576"/>
      <c r="E163" s="576"/>
      <c r="F163" s="576"/>
      <c r="G163" s="576"/>
      <c r="H163" s="576"/>
      <c r="I163" s="576"/>
      <c r="J163" s="576"/>
      <c r="K163" s="576"/>
      <c r="L163" s="576"/>
      <c r="M163" s="576"/>
    </row>
    <row r="164" spans="1:13">
      <c r="A164" s="474"/>
      <c r="B164" s="576"/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</row>
    <row r="165" spans="1:13">
      <c r="A165" s="474"/>
      <c r="B165" s="576"/>
      <c r="C165" s="576"/>
      <c r="D165" s="576"/>
      <c r="E165" s="576"/>
      <c r="F165" s="576"/>
      <c r="G165" s="576"/>
      <c r="H165" s="576"/>
      <c r="I165" s="576"/>
      <c r="J165" s="576"/>
      <c r="K165" s="576"/>
      <c r="L165" s="576"/>
      <c r="M165" s="576"/>
    </row>
    <row r="166" spans="1:13">
      <c r="A166" s="474"/>
      <c r="B166" s="576"/>
      <c r="C166" s="576"/>
      <c r="D166" s="576"/>
      <c r="E166" s="576"/>
      <c r="F166" s="576"/>
      <c r="G166" s="576"/>
      <c r="H166" s="576"/>
      <c r="I166" s="576"/>
      <c r="J166" s="576"/>
      <c r="K166" s="576"/>
      <c r="L166" s="576"/>
      <c r="M166" s="576"/>
    </row>
    <row r="167" spans="1:13">
      <c r="A167" s="474"/>
      <c r="B167" s="576"/>
      <c r="C167" s="576"/>
      <c r="D167" s="576"/>
      <c r="E167" s="576"/>
      <c r="F167" s="576"/>
      <c r="G167" s="576"/>
      <c r="H167" s="576"/>
      <c r="I167" s="576"/>
      <c r="J167" s="576"/>
      <c r="K167" s="576"/>
      <c r="L167" s="576"/>
      <c r="M167" s="576"/>
    </row>
    <row r="168" spans="1:13">
      <c r="A168" s="474"/>
      <c r="B168" s="576"/>
      <c r="C168" s="576"/>
      <c r="D168" s="576"/>
      <c r="E168" s="576"/>
      <c r="F168" s="576"/>
      <c r="G168" s="576"/>
      <c r="H168" s="576"/>
      <c r="I168" s="576"/>
      <c r="J168" s="576"/>
      <c r="K168" s="576"/>
      <c r="L168" s="576"/>
      <c r="M168" s="576"/>
    </row>
    <row r="169" spans="1:13">
      <c r="A169" s="474"/>
      <c r="B169" s="613"/>
      <c r="C169" s="614"/>
      <c r="D169" s="614"/>
      <c r="E169" s="615" t="s">
        <v>0</v>
      </c>
      <c r="F169" s="614"/>
      <c r="G169" s="616"/>
      <c r="H169" s="614"/>
      <c r="I169" s="614"/>
      <c r="J169" s="614"/>
      <c r="K169" s="614"/>
      <c r="L169" s="614"/>
      <c r="M169" s="617"/>
    </row>
    <row r="170" spans="1:13">
      <c r="A170" s="474"/>
      <c r="B170" s="618"/>
      <c r="C170" s="464"/>
      <c r="D170" s="464"/>
      <c r="E170" s="464"/>
      <c r="F170" s="464"/>
      <c r="G170" s="464" t="s">
        <v>1</v>
      </c>
      <c r="H170" s="464"/>
      <c r="I170" s="464"/>
      <c r="J170" s="464"/>
      <c r="K170" s="464"/>
      <c r="L170" s="464"/>
      <c r="M170" s="465"/>
    </row>
    <row r="171" spans="1:13">
      <c r="A171" s="474"/>
      <c r="B171" s="463"/>
      <c r="C171" s="464"/>
      <c r="D171" s="464"/>
      <c r="E171" s="464"/>
      <c r="F171" s="474"/>
      <c r="G171" s="464"/>
      <c r="H171" s="464"/>
      <c r="I171" s="464"/>
      <c r="J171" s="464"/>
      <c r="K171" s="464"/>
      <c r="L171" s="464"/>
      <c r="M171" s="619" t="s">
        <v>268</v>
      </c>
    </row>
    <row r="172" spans="1:13">
      <c r="A172" s="474"/>
      <c r="B172" s="620"/>
      <c r="C172" s="621"/>
      <c r="D172" s="621"/>
      <c r="E172" s="621"/>
      <c r="F172" s="621"/>
      <c r="G172" s="621"/>
      <c r="H172" s="621"/>
      <c r="I172" s="621"/>
      <c r="J172" s="621"/>
      <c r="K172" s="621"/>
      <c r="L172" s="621"/>
      <c r="M172" s="475"/>
    </row>
    <row r="173" spans="1:13">
      <c r="A173" s="474"/>
      <c r="B173" s="466"/>
      <c r="C173" s="467" t="s">
        <v>3</v>
      </c>
      <c r="D173" s="471" t="s">
        <v>275</v>
      </c>
      <c r="E173" s="471"/>
      <c r="F173" s="471"/>
      <c r="G173" s="471"/>
      <c r="H173" s="622"/>
      <c r="I173" s="468"/>
      <c r="J173" s="468"/>
      <c r="K173" s="468"/>
      <c r="L173" s="467" t="s">
        <v>5</v>
      </c>
      <c r="M173" s="469" t="s">
        <v>276</v>
      </c>
    </row>
    <row r="174" spans="1:13">
      <c r="A174" s="474"/>
      <c r="B174" s="466"/>
      <c r="C174" s="467" t="s">
        <v>7</v>
      </c>
      <c r="D174" s="470">
        <v>2</v>
      </c>
      <c r="E174" s="468"/>
      <c r="F174" s="471"/>
      <c r="G174" s="471"/>
      <c r="H174" s="471"/>
      <c r="I174" s="468"/>
      <c r="J174" s="468"/>
      <c r="K174" s="468"/>
      <c r="L174" s="467" t="s">
        <v>8</v>
      </c>
      <c r="M174" s="469">
        <v>3298159.3539999998</v>
      </c>
    </row>
    <row r="175" spans="1:13">
      <c r="A175" s="474"/>
      <c r="B175" s="466"/>
      <c r="C175" s="467" t="s">
        <v>9</v>
      </c>
      <c r="D175" s="471" t="s">
        <v>393</v>
      </c>
      <c r="E175" s="471"/>
      <c r="F175" s="471"/>
      <c r="G175" s="471"/>
      <c r="H175" s="472"/>
      <c r="I175" s="468"/>
      <c r="J175" s="468"/>
      <c r="K175" s="468"/>
      <c r="L175" s="467" t="s">
        <v>12</v>
      </c>
      <c r="M175" s="473" t="s">
        <v>278</v>
      </c>
    </row>
    <row r="176" spans="1:13">
      <c r="A176" s="474"/>
      <c r="B176" s="466"/>
      <c r="C176" s="467" t="s">
        <v>14</v>
      </c>
      <c r="D176" s="471" t="s">
        <v>279</v>
      </c>
      <c r="E176" s="471"/>
      <c r="F176" s="471"/>
      <c r="G176" s="471"/>
      <c r="H176" s="471"/>
      <c r="I176" s="468"/>
      <c r="J176" s="468"/>
      <c r="K176" s="468"/>
      <c r="L176" s="468"/>
      <c r="M176" s="475"/>
    </row>
    <row r="177" spans="1:13">
      <c r="A177" s="474"/>
      <c r="B177" s="618"/>
      <c r="C177" s="467"/>
      <c r="D177" s="471"/>
      <c r="E177" s="471"/>
      <c r="F177" s="471"/>
      <c r="G177" s="471"/>
      <c r="H177" s="474"/>
      <c r="I177" s="474"/>
      <c r="J177" s="474"/>
      <c r="K177" s="468"/>
      <c r="L177" s="468"/>
      <c r="M177" s="475"/>
    </row>
    <row r="178" spans="1:13">
      <c r="A178" s="474"/>
      <c r="B178" s="466"/>
      <c r="C178" s="467"/>
      <c r="D178" s="471"/>
      <c r="E178" s="471"/>
      <c r="F178" s="621" t="s">
        <v>90</v>
      </c>
      <c r="G178" s="471"/>
      <c r="H178" s="1176" t="s">
        <v>25</v>
      </c>
      <c r="I178" s="1176"/>
      <c r="J178" s="1176" t="s">
        <v>26</v>
      </c>
      <c r="K178" s="1176"/>
      <c r="L178" s="1176" t="s">
        <v>27</v>
      </c>
      <c r="M178" s="1177"/>
    </row>
    <row r="179" spans="1:13">
      <c r="A179" s="474"/>
      <c r="B179" s="1178" t="s">
        <v>408</v>
      </c>
      <c r="C179" s="1176"/>
      <c r="D179" s="1176"/>
      <c r="E179" s="1176"/>
      <c r="F179" s="624">
        <f>F113+F110</f>
        <v>3938870.6500000004</v>
      </c>
      <c r="G179" s="574"/>
      <c r="H179" s="1179">
        <f>K113</f>
        <v>1818552</v>
      </c>
      <c r="I179" s="1179"/>
      <c r="J179" s="1180">
        <f>L113</f>
        <v>2061118.67</v>
      </c>
      <c r="K179" s="1180"/>
      <c r="L179" s="1179">
        <f>H179+J179</f>
        <v>3879670.67</v>
      </c>
      <c r="M179" s="1181"/>
    </row>
    <row r="180" spans="1:13">
      <c r="A180" s="474"/>
      <c r="B180" s="466" t="s">
        <v>409</v>
      </c>
      <c r="C180" s="470" t="s">
        <v>93</v>
      </c>
      <c r="D180" s="471"/>
      <c r="E180" s="471"/>
      <c r="F180" s="471"/>
      <c r="G180" s="471"/>
      <c r="H180" s="471"/>
      <c r="I180" s="468"/>
      <c r="J180" s="468"/>
      <c r="K180" s="474"/>
      <c r="L180" s="468"/>
      <c r="M180" s="626"/>
    </row>
    <row r="181" spans="1:13">
      <c r="A181" s="474"/>
      <c r="B181" s="466"/>
      <c r="C181" s="470"/>
      <c r="D181" s="471"/>
      <c r="E181" s="471"/>
      <c r="F181" s="471"/>
      <c r="G181" s="471"/>
      <c r="H181" s="471"/>
      <c r="I181" s="468"/>
      <c r="J181" s="468"/>
      <c r="K181" s="474"/>
      <c r="L181" s="468"/>
      <c r="M181" s="626"/>
    </row>
    <row r="182" spans="1:13">
      <c r="A182" s="474"/>
      <c r="B182" s="466"/>
      <c r="C182" s="470" t="s">
        <v>94</v>
      </c>
      <c r="D182" s="471"/>
      <c r="E182" s="471"/>
      <c r="F182" s="471"/>
      <c r="G182" s="471"/>
      <c r="H182" s="471"/>
      <c r="I182" s="468"/>
      <c r="J182" s="468"/>
      <c r="K182" s="474"/>
      <c r="L182" s="1180">
        <f>E183*L179</f>
        <v>116390.1201</v>
      </c>
      <c r="M182" s="1182"/>
    </row>
    <row r="183" spans="1:13">
      <c r="A183" s="474"/>
      <c r="B183" s="627"/>
      <c r="C183" s="471" t="s">
        <v>95</v>
      </c>
      <c r="D183" s="628"/>
      <c r="E183" s="628">
        <v>0.03</v>
      </c>
      <c r="F183" s="625">
        <f>E183*F179</f>
        <v>118166.1195</v>
      </c>
      <c r="G183" s="625"/>
      <c r="H183" s="1180">
        <f>E183*H179</f>
        <v>54556.56</v>
      </c>
      <c r="I183" s="1180"/>
      <c r="J183" s="1180">
        <f>E183*J179</f>
        <v>61833.560099999995</v>
      </c>
      <c r="K183" s="1180"/>
      <c r="L183" s="1180"/>
      <c r="M183" s="1182"/>
    </row>
    <row r="184" spans="1:13">
      <c r="A184" s="474"/>
      <c r="B184" s="627"/>
      <c r="C184" s="471" t="s">
        <v>96</v>
      </c>
      <c r="D184" s="628"/>
      <c r="E184" s="629">
        <v>0.1</v>
      </c>
      <c r="F184" s="625">
        <f>E184*F179</f>
        <v>393887.06500000006</v>
      </c>
      <c r="G184" s="625"/>
      <c r="H184" s="1180">
        <f>E184*H179</f>
        <v>181855.2</v>
      </c>
      <c r="I184" s="1180"/>
      <c r="J184" s="1180">
        <f>E184*J179</f>
        <v>206111.867</v>
      </c>
      <c r="K184" s="1180"/>
      <c r="L184" s="1180">
        <f>E184*L179</f>
        <v>387967.06700000004</v>
      </c>
      <c r="M184" s="1182"/>
    </row>
    <row r="185" spans="1:13" ht="33">
      <c r="A185" s="474"/>
      <c r="B185" s="627"/>
      <c r="C185" s="630" t="s">
        <v>97</v>
      </c>
      <c r="D185" s="628"/>
      <c r="E185" s="629">
        <v>0.18</v>
      </c>
      <c r="F185" s="625">
        <f>E185*F184</f>
        <v>70899.671700000006</v>
      </c>
      <c r="G185" s="625"/>
      <c r="H185" s="1180">
        <f>E185*H184</f>
        <v>32733.936000000002</v>
      </c>
      <c r="I185" s="1180"/>
      <c r="J185" s="1180">
        <f>E185*J184</f>
        <v>37100.136059999997</v>
      </c>
      <c r="K185" s="1180"/>
      <c r="L185" s="1180">
        <f>E185*L184</f>
        <v>69834.072060000006</v>
      </c>
      <c r="M185" s="1182"/>
    </row>
    <row r="186" spans="1:13">
      <c r="A186" s="474"/>
      <c r="B186" s="627"/>
      <c r="C186" s="471" t="s">
        <v>98</v>
      </c>
      <c r="D186" s="628"/>
      <c r="E186" s="629">
        <v>0.04</v>
      </c>
      <c r="F186" s="625">
        <f>E186*F179</f>
        <v>157554.82600000003</v>
      </c>
      <c r="G186" s="625"/>
      <c r="H186" s="1180">
        <f>E186*H179</f>
        <v>72742.080000000002</v>
      </c>
      <c r="I186" s="1180"/>
      <c r="J186" s="1180">
        <f>E186*J179</f>
        <v>82444.746799999994</v>
      </c>
      <c r="K186" s="1180"/>
      <c r="L186" s="1180">
        <f>E186*L179</f>
        <v>155186.82680000001</v>
      </c>
      <c r="M186" s="1182"/>
    </row>
    <row r="187" spans="1:13">
      <c r="A187" s="474"/>
      <c r="B187" s="627"/>
      <c r="C187" s="471" t="s">
        <v>99</v>
      </c>
      <c r="D187" s="629"/>
      <c r="E187" s="631">
        <v>0.03</v>
      </c>
      <c r="F187" s="625">
        <f>E187*F179</f>
        <v>118166.1195</v>
      </c>
      <c r="G187" s="625"/>
      <c r="H187" s="1180">
        <f>E187*H179</f>
        <v>54556.56</v>
      </c>
      <c r="I187" s="1180"/>
      <c r="J187" s="1179">
        <f>E187*J179</f>
        <v>61833.560099999995</v>
      </c>
      <c r="K187" s="1179"/>
      <c r="L187" s="1180">
        <f>E187*L179</f>
        <v>116390.1201</v>
      </c>
      <c r="M187" s="1182"/>
    </row>
    <row r="188" spans="1:13">
      <c r="A188" s="474"/>
      <c r="B188" s="627"/>
      <c r="C188" s="471" t="s">
        <v>100</v>
      </c>
      <c r="D188" s="628"/>
      <c r="E188" s="629">
        <v>0.01</v>
      </c>
      <c r="F188" s="625">
        <f>E188*F179</f>
        <v>39388.706500000008</v>
      </c>
      <c r="G188" s="625"/>
      <c r="H188" s="1180">
        <f>E188*H179</f>
        <v>18185.52</v>
      </c>
      <c r="I188" s="1180"/>
      <c r="J188" s="1179">
        <f>E188*J179</f>
        <v>20611.186699999998</v>
      </c>
      <c r="K188" s="1179"/>
      <c r="L188" s="1180">
        <f>E188*L179</f>
        <v>38796.706700000002</v>
      </c>
      <c r="M188" s="1182"/>
    </row>
    <row r="189" spans="1:13">
      <c r="A189" s="474"/>
      <c r="B189" s="627"/>
      <c r="C189" s="471" t="s">
        <v>101</v>
      </c>
      <c r="D189" s="628"/>
      <c r="E189" s="632">
        <v>1E-3</v>
      </c>
      <c r="F189" s="633">
        <f>E189*F179</f>
        <v>3938.8706500000003</v>
      </c>
      <c r="G189" s="633"/>
      <c r="H189" s="1180">
        <f>E189*H179</f>
        <v>1818.5520000000001</v>
      </c>
      <c r="I189" s="1180"/>
      <c r="J189" s="1183">
        <f>E189*J179</f>
        <v>2061.1186699999998</v>
      </c>
      <c r="K189" s="1183"/>
      <c r="L189" s="1184">
        <f>E189*L179</f>
        <v>3879.67067</v>
      </c>
      <c r="M189" s="1185"/>
    </row>
    <row r="190" spans="1:13">
      <c r="A190" s="474"/>
      <c r="B190" s="627"/>
      <c r="C190" s="471" t="s">
        <v>104</v>
      </c>
      <c r="D190" s="629"/>
      <c r="E190" s="629">
        <f>E189+E188+E187+E186+E184+E183+1.8%</f>
        <v>0.22899999999999998</v>
      </c>
      <c r="F190" s="625">
        <f>F183+F184+F185+F186+F187+F188+F189</f>
        <v>902001.3788500001</v>
      </c>
      <c r="G190" s="625"/>
      <c r="H190" s="1186">
        <f>SUM(H183:H189)</f>
        <v>416448.40800000005</v>
      </c>
      <c r="I190" s="1186"/>
      <c r="J190" s="1179">
        <f>J183+J184+J185+J186+J187+J188+J189</f>
        <v>471996.17543</v>
      </c>
      <c r="K190" s="1179"/>
      <c r="L190" s="1180">
        <f>L182+L184+L185+L186+L187+L188+L189</f>
        <v>888444.58343</v>
      </c>
      <c r="M190" s="1182"/>
    </row>
    <row r="191" spans="1:13">
      <c r="A191" s="474"/>
      <c r="B191" s="627"/>
      <c r="C191" s="471"/>
      <c r="D191" s="629"/>
      <c r="E191" s="621"/>
      <c r="F191" s="634"/>
      <c r="G191" s="634"/>
      <c r="H191" s="635"/>
      <c r="I191" s="636"/>
      <c r="J191" s="637"/>
      <c r="K191" s="638"/>
      <c r="L191" s="634"/>
      <c r="M191" s="639"/>
    </row>
    <row r="192" spans="1:13">
      <c r="A192" s="474"/>
      <c r="B192" s="627"/>
      <c r="C192" s="470" t="s">
        <v>271</v>
      </c>
      <c r="D192" s="628"/>
      <c r="E192" s="621"/>
      <c r="F192" s="625">
        <f>F179+F190</f>
        <v>4840872.0288500004</v>
      </c>
      <c r="G192" s="625"/>
      <c r="H192" s="1186">
        <f>'CUB.2 La Catalina'!H190+'CUB.2 La Catalina'!H179</f>
        <v>2235000.4079999998</v>
      </c>
      <c r="I192" s="1186"/>
      <c r="J192" s="1179">
        <f>J179+J190</f>
        <v>2533114.8454299998</v>
      </c>
      <c r="K192" s="1179"/>
      <c r="L192" s="1180">
        <f>L179+L190</f>
        <v>4768115.2534299996</v>
      </c>
      <c r="M192" s="1182"/>
    </row>
    <row r="193" spans="1:13">
      <c r="A193" s="474"/>
      <c r="B193" s="627"/>
      <c r="C193" s="470"/>
      <c r="D193" s="640"/>
      <c r="E193" s="641"/>
      <c r="F193" s="642"/>
      <c r="G193" s="642"/>
      <c r="H193" s="643"/>
      <c r="I193" s="643"/>
      <c r="J193" s="644"/>
      <c r="K193" s="474"/>
      <c r="L193" s="640"/>
      <c r="M193" s="645"/>
    </row>
    <row r="194" spans="1:13">
      <c r="A194" s="474"/>
      <c r="B194" s="466"/>
      <c r="C194" s="646" t="s">
        <v>106</v>
      </c>
      <c r="D194" s="468"/>
      <c r="E194" s="468"/>
      <c r="F194" s="468"/>
      <c r="G194" s="468"/>
      <c r="H194" s="647"/>
      <c r="I194" s="647"/>
      <c r="J194" s="1187"/>
      <c r="K194" s="1187"/>
      <c r="L194" s="1187"/>
      <c r="M194" s="1188"/>
    </row>
    <row r="195" spans="1:13">
      <c r="A195" s="474"/>
      <c r="B195" s="466"/>
      <c r="C195" s="471" t="s">
        <v>11</v>
      </c>
      <c r="D195" s="468"/>
      <c r="E195" s="629"/>
      <c r="F195" s="468"/>
      <c r="G195" s="468"/>
      <c r="H195" s="1179"/>
      <c r="I195" s="1179"/>
      <c r="J195" s="648"/>
      <c r="K195" s="648"/>
      <c r="L195" s="575"/>
      <c r="M195" s="649"/>
    </row>
    <row r="196" spans="1:13">
      <c r="A196" s="474"/>
      <c r="B196" s="466"/>
      <c r="C196" s="470"/>
      <c r="D196" s="468"/>
      <c r="E196" s="628"/>
      <c r="F196" s="468"/>
      <c r="G196" s="468"/>
      <c r="H196" s="1179"/>
      <c r="I196" s="1179"/>
      <c r="J196" s="1189"/>
      <c r="K196" s="1189"/>
      <c r="L196" s="1189"/>
      <c r="M196" s="1190"/>
    </row>
    <row r="197" spans="1:13">
      <c r="A197" s="474"/>
      <c r="B197" s="466"/>
      <c r="C197" s="470" t="s">
        <v>107</v>
      </c>
      <c r="D197" s="641"/>
      <c r="E197" s="631">
        <v>0.2</v>
      </c>
      <c r="F197" s="641"/>
      <c r="G197" s="641"/>
      <c r="H197" s="1179">
        <f>E197*H192</f>
        <v>447000.08159999998</v>
      </c>
      <c r="I197" s="1179"/>
      <c r="J197" s="1179">
        <f>J192*E197</f>
        <v>506622.969086</v>
      </c>
      <c r="K197" s="1179"/>
      <c r="L197" s="1179">
        <f>H197+J197</f>
        <v>953623.05068599992</v>
      </c>
      <c r="M197" s="1181"/>
    </row>
    <row r="198" spans="1:13">
      <c r="A198" s="474"/>
      <c r="B198" s="466"/>
      <c r="C198" s="470"/>
      <c r="D198" s="641"/>
      <c r="E198" s="641"/>
      <c r="F198" s="641"/>
      <c r="G198" s="641"/>
      <c r="H198" s="1191"/>
      <c r="I198" s="1191"/>
      <c r="J198" s="1192"/>
      <c r="K198" s="1192"/>
      <c r="L198" s="1193"/>
      <c r="M198" s="1194"/>
    </row>
    <row r="199" spans="1:13">
      <c r="A199" s="474"/>
      <c r="B199" s="466"/>
      <c r="C199" s="641"/>
      <c r="D199" s="641"/>
      <c r="E199" s="641"/>
      <c r="F199" s="641"/>
      <c r="G199" s="641"/>
      <c r="H199" s="643"/>
      <c r="I199" s="651"/>
      <c r="J199" s="474"/>
      <c r="K199" s="474"/>
      <c r="L199" s="650"/>
      <c r="M199" s="626"/>
    </row>
    <row r="200" spans="1:13">
      <c r="A200" s="474"/>
      <c r="B200" s="466"/>
      <c r="C200" s="641"/>
      <c r="D200" s="641"/>
      <c r="E200" s="641"/>
      <c r="F200" s="641"/>
      <c r="G200" s="641"/>
      <c r="H200" s="643"/>
      <c r="I200" s="651"/>
      <c r="J200" s="650"/>
      <c r="K200" s="474"/>
      <c r="L200" s="650"/>
      <c r="M200" s="626"/>
    </row>
    <row r="201" spans="1:13">
      <c r="A201" s="474"/>
      <c r="B201" s="466"/>
      <c r="C201" s="470" t="s">
        <v>184</v>
      </c>
      <c r="D201" s="641"/>
      <c r="E201" s="641"/>
      <c r="F201" s="641"/>
      <c r="G201" s="641"/>
      <c r="H201" s="1195">
        <f>H192-H197</f>
        <v>1788000.3263999999</v>
      </c>
      <c r="I201" s="1195"/>
      <c r="J201" s="1196">
        <f>J192-J197</f>
        <v>2026491.8763439998</v>
      </c>
      <c r="K201" s="1196"/>
      <c r="L201" s="1197">
        <f>H201+J201</f>
        <v>3814492.2027439997</v>
      </c>
      <c r="M201" s="1198"/>
    </row>
    <row r="202" spans="1:13">
      <c r="A202" s="474"/>
      <c r="B202" s="466"/>
      <c r="C202" s="470"/>
      <c r="D202" s="641"/>
      <c r="E202" s="641"/>
      <c r="F202" s="641"/>
      <c r="G202" s="641"/>
      <c r="H202" s="641"/>
      <c r="I202" s="652"/>
      <c r="J202" s="468"/>
      <c r="K202" s="637"/>
      <c r="L202" s="641"/>
      <c r="M202" s="619"/>
    </row>
    <row r="203" spans="1:13">
      <c r="A203" s="474"/>
      <c r="B203" s="620"/>
      <c r="C203" s="621"/>
      <c r="D203" s="621" t="s">
        <v>109</v>
      </c>
      <c r="E203" s="621"/>
      <c r="F203" s="621"/>
      <c r="G203" s="621"/>
      <c r="H203" s="621" t="s">
        <v>110</v>
      </c>
      <c r="I203" s="621"/>
      <c r="J203" s="621"/>
      <c r="K203" s="621" t="s">
        <v>111</v>
      </c>
      <c r="L203" s="621"/>
      <c r="M203" s="623"/>
    </row>
    <row r="204" spans="1:13">
      <c r="A204" s="474"/>
      <c r="B204" s="620"/>
      <c r="C204" s="621"/>
      <c r="D204" s="621"/>
      <c r="E204" s="621"/>
      <c r="F204" s="621"/>
      <c r="G204" s="621"/>
      <c r="H204" s="621"/>
      <c r="I204" s="636"/>
      <c r="J204" s="471"/>
      <c r="K204" s="641"/>
      <c r="L204" s="641"/>
      <c r="M204" s="619"/>
    </row>
    <row r="205" spans="1:13">
      <c r="A205" s="474"/>
      <c r="B205" s="620"/>
      <c r="C205" s="621"/>
      <c r="D205" s="621" t="s">
        <v>112</v>
      </c>
      <c r="E205" s="621"/>
      <c r="F205" s="621"/>
      <c r="G205" s="621"/>
      <c r="H205" s="621" t="s">
        <v>113</v>
      </c>
      <c r="I205" s="621"/>
      <c r="J205" s="621"/>
      <c r="K205" s="637" t="s">
        <v>273</v>
      </c>
      <c r="L205" s="637"/>
      <c r="M205" s="653"/>
    </row>
    <row r="206" spans="1:13">
      <c r="A206" s="474"/>
      <c r="B206" s="654"/>
      <c r="C206" s="655"/>
      <c r="D206" s="655" t="s">
        <v>115</v>
      </c>
      <c r="E206" s="655"/>
      <c r="F206" s="655"/>
      <c r="G206" s="655"/>
      <c r="H206" s="655" t="s">
        <v>116</v>
      </c>
      <c r="I206" s="655"/>
      <c r="J206" s="655"/>
      <c r="K206" s="655" t="s">
        <v>274</v>
      </c>
      <c r="L206" s="655"/>
      <c r="M206" s="656"/>
    </row>
  </sheetData>
  <mergeCells count="57">
    <mergeCell ref="H198:I198"/>
    <mergeCell ref="J198:K198"/>
    <mergeCell ref="L198:M198"/>
    <mergeCell ref="H201:I201"/>
    <mergeCell ref="J201:K201"/>
    <mergeCell ref="L201:M201"/>
    <mergeCell ref="H197:I197"/>
    <mergeCell ref="J197:K197"/>
    <mergeCell ref="L197:M197"/>
    <mergeCell ref="H190:I190"/>
    <mergeCell ref="J190:K190"/>
    <mergeCell ref="L190:M190"/>
    <mergeCell ref="H192:I192"/>
    <mergeCell ref="J192:K192"/>
    <mergeCell ref="L192:M192"/>
    <mergeCell ref="J194:M194"/>
    <mergeCell ref="H195:I195"/>
    <mergeCell ref="H196:I196"/>
    <mergeCell ref="J196:K196"/>
    <mergeCell ref="L196:M196"/>
    <mergeCell ref="H188:I188"/>
    <mergeCell ref="J188:K188"/>
    <mergeCell ref="L188:M188"/>
    <mergeCell ref="H189:I189"/>
    <mergeCell ref="J189:K189"/>
    <mergeCell ref="L189:M189"/>
    <mergeCell ref="H186:I186"/>
    <mergeCell ref="J186:K186"/>
    <mergeCell ref="L186:M186"/>
    <mergeCell ref="H187:I187"/>
    <mergeCell ref="J187:K187"/>
    <mergeCell ref="L187:M187"/>
    <mergeCell ref="H184:I184"/>
    <mergeCell ref="J184:K184"/>
    <mergeCell ref="L184:M184"/>
    <mergeCell ref="H185:I185"/>
    <mergeCell ref="J185:K185"/>
    <mergeCell ref="L185:M185"/>
    <mergeCell ref="B179:E179"/>
    <mergeCell ref="H179:I179"/>
    <mergeCell ref="J179:K179"/>
    <mergeCell ref="L179:M179"/>
    <mergeCell ref="L182:M183"/>
    <mergeCell ref="H183:I183"/>
    <mergeCell ref="J183:K183"/>
    <mergeCell ref="A80:F80"/>
    <mergeCell ref="G80:J80"/>
    <mergeCell ref="K80:M80"/>
    <mergeCell ref="H178:I178"/>
    <mergeCell ref="J178:K178"/>
    <mergeCell ref="L178:M178"/>
    <mergeCell ref="A1:M1"/>
    <mergeCell ref="A2:M2"/>
    <mergeCell ref="C3:I3"/>
    <mergeCell ref="A7:F7"/>
    <mergeCell ref="G7:J7"/>
    <mergeCell ref="K7:M7"/>
  </mergeCells>
  <pageMargins left="0.70866141732283472" right="0.70866141732283472" top="0.74803149606299213" bottom="0.74803149606299213" header="0.31496062992125984" footer="0.31496062992125984"/>
  <pageSetup paperSize="5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07A-2DE7-4E4D-8C77-7A030B8770CA}">
  <dimension ref="A1:N418"/>
  <sheetViews>
    <sheetView topLeftCell="A368" workbookViewId="0">
      <selection activeCell="L396" sqref="L396:M396"/>
    </sheetView>
  </sheetViews>
  <sheetFormatPr baseColWidth="10" defaultRowHeight="15"/>
  <cols>
    <col min="2" max="2" width="37.85546875" bestFit="1" customWidth="1"/>
    <col min="6" max="6" width="14.7109375" bestFit="1" customWidth="1"/>
    <col min="11" max="11" width="15.140625" bestFit="1" customWidth="1"/>
    <col min="12" max="12" width="12.85546875" bestFit="1" customWidth="1"/>
    <col min="13" max="13" width="15.140625" bestFit="1" customWidth="1"/>
  </cols>
  <sheetData>
    <row r="1" spans="1:14">
      <c r="A1" s="657"/>
      <c r="B1" s="1085" t="s">
        <v>0</v>
      </c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</row>
    <row r="2" spans="1:14">
      <c r="A2" s="657"/>
      <c r="B2" s="1079" t="s">
        <v>1</v>
      </c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</row>
    <row r="3" spans="1:14">
      <c r="A3" s="657"/>
      <c r="B3" s="2"/>
      <c r="C3" s="2"/>
      <c r="D3" s="2"/>
      <c r="E3" s="2"/>
      <c r="F3" s="170"/>
      <c r="G3" s="2"/>
      <c r="H3" s="2"/>
      <c r="I3" s="2"/>
      <c r="J3" s="2"/>
      <c r="K3" s="2"/>
      <c r="L3" s="2"/>
      <c r="M3" s="658" t="s">
        <v>410</v>
      </c>
      <c r="N3" s="2"/>
    </row>
    <row r="4" spans="1:14">
      <c r="A4" s="657"/>
      <c r="B4" s="130" t="s">
        <v>3</v>
      </c>
      <c r="C4" s="1086" t="s">
        <v>411</v>
      </c>
      <c r="D4" s="1086"/>
      <c r="E4" s="1086"/>
      <c r="F4" s="1086"/>
      <c r="G4" s="1086"/>
      <c r="H4" s="1086"/>
      <c r="I4" s="1086"/>
      <c r="J4" s="7"/>
      <c r="K4" s="7"/>
      <c r="L4" s="5" t="s">
        <v>5</v>
      </c>
      <c r="M4" s="659" t="s">
        <v>412</v>
      </c>
    </row>
    <row r="5" spans="1:14">
      <c r="A5" s="657"/>
      <c r="B5" s="5" t="s">
        <v>7</v>
      </c>
      <c r="C5" s="9">
        <v>3</v>
      </c>
      <c r="D5" s="159"/>
      <c r="E5" s="10"/>
      <c r="F5" s="5"/>
      <c r="G5" s="10"/>
      <c r="H5" s="7"/>
      <c r="I5" s="660"/>
      <c r="J5" s="7"/>
      <c r="K5" s="7"/>
      <c r="L5" s="5" t="s">
        <v>8</v>
      </c>
      <c r="M5" s="131">
        <v>12379572.51</v>
      </c>
      <c r="N5" s="254"/>
    </row>
    <row r="6" spans="1:14">
      <c r="A6" s="657"/>
      <c r="B6" s="5" t="s">
        <v>9</v>
      </c>
      <c r="C6" s="10" t="s">
        <v>413</v>
      </c>
      <c r="D6" s="127"/>
      <c r="E6" s="10"/>
      <c r="F6" s="5"/>
      <c r="G6" s="11"/>
      <c r="H6" s="7"/>
      <c r="I6" s="7"/>
      <c r="J6" s="7"/>
      <c r="K6" s="7"/>
      <c r="L6" s="5" t="s">
        <v>12</v>
      </c>
      <c r="M6" s="132" t="s">
        <v>414</v>
      </c>
      <c r="N6" s="255"/>
    </row>
    <row r="7" spans="1:14">
      <c r="A7" s="657"/>
      <c r="B7" s="5" t="s">
        <v>14</v>
      </c>
      <c r="C7" s="10" t="s">
        <v>415</v>
      </c>
      <c r="D7" s="127"/>
      <c r="E7" s="10"/>
      <c r="F7" s="5"/>
      <c r="G7" s="10"/>
      <c r="H7" s="7"/>
      <c r="I7" s="7"/>
      <c r="J7" s="1152"/>
      <c r="K7" s="1152"/>
      <c r="L7" s="7"/>
      <c r="M7" s="7"/>
      <c r="N7" s="255"/>
    </row>
    <row r="8" spans="1:14">
      <c r="A8" s="1199" t="s">
        <v>16</v>
      </c>
      <c r="B8" s="1199"/>
      <c r="C8" s="1199"/>
      <c r="D8" s="1199"/>
      <c r="E8" s="1199"/>
      <c r="F8" s="1199"/>
      <c r="G8" s="1200" t="s">
        <v>17</v>
      </c>
      <c r="H8" s="1200"/>
      <c r="I8" s="1200"/>
      <c r="J8" s="1200"/>
      <c r="K8" s="1201" t="s">
        <v>18</v>
      </c>
      <c r="L8" s="1201"/>
      <c r="M8" s="1201"/>
      <c r="N8" s="324"/>
    </row>
    <row r="9" spans="1:14" ht="25.5">
      <c r="A9" s="661" t="s">
        <v>19</v>
      </c>
      <c r="B9" s="662" t="s">
        <v>20</v>
      </c>
      <c r="C9" s="662" t="s">
        <v>22</v>
      </c>
      <c r="D9" s="662" t="s">
        <v>21</v>
      </c>
      <c r="E9" s="663" t="s">
        <v>23</v>
      </c>
      <c r="F9" s="664" t="s">
        <v>24</v>
      </c>
      <c r="G9" s="665" t="s">
        <v>25</v>
      </c>
      <c r="H9" s="665" t="s">
        <v>26</v>
      </c>
      <c r="I9" s="666" t="s">
        <v>27</v>
      </c>
      <c r="J9" s="667" t="s">
        <v>28</v>
      </c>
      <c r="K9" s="668" t="s">
        <v>25</v>
      </c>
      <c r="L9" s="669" t="s">
        <v>26</v>
      </c>
      <c r="M9" s="669" t="s">
        <v>27</v>
      </c>
      <c r="N9" s="670"/>
    </row>
    <row r="10" spans="1:14">
      <c r="A10" s="671">
        <v>1</v>
      </c>
      <c r="B10" s="672" t="s">
        <v>123</v>
      </c>
      <c r="C10" s="673"/>
      <c r="D10" s="674"/>
      <c r="E10" s="675"/>
      <c r="F10" s="676"/>
      <c r="G10" s="677"/>
      <c r="H10" s="677"/>
      <c r="I10" s="678"/>
      <c r="J10" s="679"/>
      <c r="K10" s="680"/>
      <c r="L10" s="681"/>
      <c r="M10" s="681"/>
      <c r="N10" s="682"/>
    </row>
    <row r="11" spans="1:14">
      <c r="A11" s="683">
        <v>1.01</v>
      </c>
      <c r="B11" s="673" t="s">
        <v>416</v>
      </c>
      <c r="C11" s="684">
        <v>4468</v>
      </c>
      <c r="D11" s="685" t="s">
        <v>222</v>
      </c>
      <c r="E11" s="686">
        <v>63.38</v>
      </c>
      <c r="F11" s="687">
        <v>283159.5</v>
      </c>
      <c r="G11" s="677">
        <v>4468</v>
      </c>
      <c r="H11" s="677"/>
      <c r="I11" s="688">
        <f>G11+H11</f>
        <v>4468</v>
      </c>
      <c r="J11" s="689">
        <f>I11/C11</f>
        <v>1</v>
      </c>
      <c r="K11" s="681">
        <v>283181.84000000003</v>
      </c>
      <c r="L11" s="681">
        <f>H11*E11</f>
        <v>0</v>
      </c>
      <c r="M11" s="681">
        <f>K11+L11</f>
        <v>283181.84000000003</v>
      </c>
      <c r="N11" s="690"/>
    </row>
    <row r="12" spans="1:14">
      <c r="A12" s="683">
        <v>1.02</v>
      </c>
      <c r="B12" s="673" t="s">
        <v>417</v>
      </c>
      <c r="C12" s="691">
        <v>975</v>
      </c>
      <c r="D12" s="685" t="s">
        <v>222</v>
      </c>
      <c r="E12" s="686">
        <v>175.32</v>
      </c>
      <c r="F12" s="687">
        <v>170937.39</v>
      </c>
      <c r="G12" s="677">
        <v>849.04499999999996</v>
      </c>
      <c r="H12" s="677">
        <f>+C12-G12</f>
        <v>125.95500000000004</v>
      </c>
      <c r="I12" s="688">
        <f>G12+H12</f>
        <v>975</v>
      </c>
      <c r="J12" s="689">
        <f>I12/C12</f>
        <v>1</v>
      </c>
      <c r="K12" s="681">
        <v>148854.56939999998</v>
      </c>
      <c r="L12" s="681">
        <f>H12*E12</f>
        <v>22082.430600000007</v>
      </c>
      <c r="M12" s="681">
        <f t="shared" ref="M12:M14" si="0">K12+L12</f>
        <v>170937</v>
      </c>
      <c r="N12" s="690"/>
    </row>
    <row r="13" spans="1:14">
      <c r="A13" s="683">
        <v>1.03</v>
      </c>
      <c r="B13" s="673" t="s">
        <v>418</v>
      </c>
      <c r="C13" s="691">
        <v>975</v>
      </c>
      <c r="D13" s="685" t="s">
        <v>222</v>
      </c>
      <c r="E13" s="686">
        <v>108.78</v>
      </c>
      <c r="F13" s="687">
        <v>106059.64</v>
      </c>
      <c r="G13" s="677">
        <v>849.04499999999996</v>
      </c>
      <c r="H13" s="677">
        <f>+C13-G13</f>
        <v>125.95500000000004</v>
      </c>
      <c r="I13" s="688">
        <f t="shared" ref="I13:I14" si="1">G13+H13</f>
        <v>975</v>
      </c>
      <c r="J13" s="689">
        <f t="shared" ref="J13:J14" si="2">I13/C13</f>
        <v>1</v>
      </c>
      <c r="K13" s="681">
        <v>92359.115099999995</v>
      </c>
      <c r="L13" s="681">
        <f>H13*E13</f>
        <v>13701.384900000005</v>
      </c>
      <c r="M13" s="681">
        <f t="shared" si="0"/>
        <v>106060.5</v>
      </c>
      <c r="N13" s="690"/>
    </row>
    <row r="14" spans="1:14">
      <c r="A14" s="683">
        <v>1.04</v>
      </c>
      <c r="B14" s="673" t="s">
        <v>419</v>
      </c>
      <c r="C14" s="691">
        <v>134</v>
      </c>
      <c r="D14" s="685" t="s">
        <v>38</v>
      </c>
      <c r="E14" s="692">
        <v>1267.28</v>
      </c>
      <c r="F14" s="687">
        <v>169815.57</v>
      </c>
      <c r="G14" s="677">
        <v>134</v>
      </c>
      <c r="H14" s="677"/>
      <c r="I14" s="688">
        <f t="shared" si="1"/>
        <v>134</v>
      </c>
      <c r="J14" s="689">
        <f t="shared" si="2"/>
        <v>1</v>
      </c>
      <c r="K14" s="681">
        <v>169815.52000000002</v>
      </c>
      <c r="L14" s="681">
        <f>H14*E14</f>
        <v>0</v>
      </c>
      <c r="M14" s="681">
        <f t="shared" si="0"/>
        <v>169815.52000000002</v>
      </c>
      <c r="N14" s="690"/>
    </row>
    <row r="15" spans="1:14">
      <c r="A15" s="693"/>
      <c r="B15" s="672" t="s">
        <v>39</v>
      </c>
      <c r="C15" s="694"/>
      <c r="D15" s="695"/>
      <c r="E15" s="696"/>
      <c r="F15" s="697">
        <f>SUM(F11:F14)</f>
        <v>729972.10000000009</v>
      </c>
      <c r="G15" s="677"/>
      <c r="H15" s="677"/>
      <c r="I15" s="688"/>
      <c r="J15" s="698"/>
      <c r="K15" s="699">
        <f t="shared" ref="K15:M15" si="3">SUBTOTAL(9,K11:K14)</f>
        <v>694211.04450000008</v>
      </c>
      <c r="L15" s="699">
        <f t="shared" si="3"/>
        <v>35783.815500000012</v>
      </c>
      <c r="M15" s="699">
        <f t="shared" si="3"/>
        <v>729994.8600000001</v>
      </c>
      <c r="N15" s="690"/>
    </row>
    <row r="16" spans="1:14">
      <c r="A16" s="671">
        <v>2</v>
      </c>
      <c r="B16" s="672" t="s">
        <v>420</v>
      </c>
      <c r="C16" s="674"/>
      <c r="D16" s="685"/>
      <c r="E16" s="675"/>
      <c r="F16" s="676"/>
      <c r="G16" s="677"/>
      <c r="H16" s="677"/>
      <c r="I16" s="688"/>
      <c r="J16" s="698"/>
      <c r="K16" s="681"/>
      <c r="L16" s="681"/>
      <c r="M16" s="681"/>
      <c r="N16" s="690"/>
    </row>
    <row r="17" spans="1:14" ht="26.25">
      <c r="A17" s="700">
        <v>2.0099999999999998</v>
      </c>
      <c r="B17" s="673" t="s">
        <v>421</v>
      </c>
      <c r="C17" s="691">
        <v>146.30000000000001</v>
      </c>
      <c r="D17" s="685" t="s">
        <v>45</v>
      </c>
      <c r="E17" s="686">
        <v>650.19000000000005</v>
      </c>
      <c r="F17" s="687">
        <v>95122.5</v>
      </c>
      <c r="G17" s="677">
        <v>94.112000000000009</v>
      </c>
      <c r="H17" s="677">
        <f>+C17-G17</f>
        <v>52.188000000000002</v>
      </c>
      <c r="I17" s="688">
        <f>G17+H17</f>
        <v>146.30000000000001</v>
      </c>
      <c r="J17" s="689">
        <f t="shared" ref="J17:J19" si="4">I17/C17</f>
        <v>1</v>
      </c>
      <c r="K17" s="681">
        <v>61190.681280000012</v>
      </c>
      <c r="L17" s="681">
        <f t="shared" ref="L17:L22" si="5">H17*E17</f>
        <v>33932.115720000002</v>
      </c>
      <c r="M17" s="681">
        <f>K17+L17</f>
        <v>95122.79700000002</v>
      </c>
      <c r="N17" s="690"/>
    </row>
    <row r="18" spans="1:14">
      <c r="A18" s="700">
        <v>2.02</v>
      </c>
      <c r="B18" s="673" t="s">
        <v>422</v>
      </c>
      <c r="C18" s="691">
        <v>190.19</v>
      </c>
      <c r="D18" s="685" t="s">
        <v>423</v>
      </c>
      <c r="E18" s="686">
        <v>279.27999999999997</v>
      </c>
      <c r="F18" s="687">
        <v>53116.26</v>
      </c>
      <c r="G18" s="677">
        <v>122.34560000000002</v>
      </c>
      <c r="H18" s="677">
        <f t="shared" ref="H18:H19" si="6">+C18-G18</f>
        <v>67.844399999999979</v>
      </c>
      <c r="I18" s="688">
        <f t="shared" ref="I18:I19" si="7">G18+H18</f>
        <v>190.19</v>
      </c>
      <c r="J18" s="689">
        <f t="shared" si="4"/>
        <v>1</v>
      </c>
      <c r="K18" s="681">
        <v>34168.679168000002</v>
      </c>
      <c r="L18" s="681">
        <f t="shared" si="5"/>
        <v>18947.584031999992</v>
      </c>
      <c r="M18" s="681">
        <f>K18+L18</f>
        <v>53116.263199999994</v>
      </c>
      <c r="N18" s="690"/>
    </row>
    <row r="19" spans="1:14">
      <c r="A19" s="683">
        <v>2.0299999999999998</v>
      </c>
      <c r="B19" s="701" t="s">
        <v>424</v>
      </c>
      <c r="C19" s="691">
        <v>355.5</v>
      </c>
      <c r="D19" s="685" t="s">
        <v>425</v>
      </c>
      <c r="E19" s="686">
        <v>658.8</v>
      </c>
      <c r="F19" s="687">
        <v>234203.4</v>
      </c>
      <c r="G19" s="677">
        <v>47.802299999999995</v>
      </c>
      <c r="H19" s="677">
        <f t="shared" si="6"/>
        <v>307.6977</v>
      </c>
      <c r="I19" s="688">
        <f t="shared" si="7"/>
        <v>355.5</v>
      </c>
      <c r="J19" s="689">
        <f t="shared" si="4"/>
        <v>1</v>
      </c>
      <c r="K19" s="681">
        <v>31492.155239999996</v>
      </c>
      <c r="L19" s="681">
        <f t="shared" si="5"/>
        <v>202711.24475999997</v>
      </c>
      <c r="M19" s="681">
        <f>K19+L19</f>
        <v>234203.39999999997</v>
      </c>
      <c r="N19" s="690"/>
    </row>
    <row r="20" spans="1:14">
      <c r="A20" s="702"/>
      <c r="B20" s="672" t="s">
        <v>39</v>
      </c>
      <c r="C20" s="695"/>
      <c r="D20" s="695"/>
      <c r="E20" s="696"/>
      <c r="F20" s="697">
        <f>SUM(F17:F19)</f>
        <v>382442.16000000003</v>
      </c>
      <c r="G20" s="677"/>
      <c r="H20" s="677"/>
      <c r="I20" s="688"/>
      <c r="J20" s="698"/>
      <c r="K20" s="703">
        <f t="shared" ref="K20:M20" si="8">+SUBTOTAL(9,K17:K19)</f>
        <v>126851.51568800001</v>
      </c>
      <c r="L20" s="703">
        <f t="shared" si="8"/>
        <v>255590.94451199996</v>
      </c>
      <c r="M20" s="703">
        <f t="shared" si="8"/>
        <v>382442.46019999997</v>
      </c>
      <c r="N20" s="690"/>
    </row>
    <row r="21" spans="1:14">
      <c r="A21" s="671">
        <v>3</v>
      </c>
      <c r="B21" s="704" t="s">
        <v>426</v>
      </c>
      <c r="C21" s="674"/>
      <c r="D21" s="685"/>
      <c r="E21" s="675"/>
      <c r="F21" s="676"/>
      <c r="G21" s="677"/>
      <c r="H21" s="677"/>
      <c r="I21" s="688"/>
      <c r="J21" s="698"/>
      <c r="K21" s="705"/>
      <c r="L21" s="681"/>
      <c r="M21" s="681"/>
      <c r="N21" s="690"/>
    </row>
    <row r="22" spans="1:14">
      <c r="A22" s="683">
        <v>3.01</v>
      </c>
      <c r="B22" s="706" t="s">
        <v>427</v>
      </c>
      <c r="C22" s="707">
        <v>16.2</v>
      </c>
      <c r="D22" s="708" t="s">
        <v>45</v>
      </c>
      <c r="E22" s="709">
        <v>11367.62</v>
      </c>
      <c r="F22" s="710">
        <v>184155.44</v>
      </c>
      <c r="G22" s="677">
        <v>11.356000000000002</v>
      </c>
      <c r="H22" s="677">
        <f>+C22-G22</f>
        <v>4.8439999999999976</v>
      </c>
      <c r="I22" s="688">
        <f t="shared" ref="I22" si="9">G22+H22</f>
        <v>16.2</v>
      </c>
      <c r="J22" s="689">
        <f>I22/C22</f>
        <v>1</v>
      </c>
      <c r="K22" s="681">
        <v>129090.69272000002</v>
      </c>
      <c r="L22" s="681">
        <f t="shared" si="5"/>
        <v>55064.751279999975</v>
      </c>
      <c r="M22" s="681">
        <f t="shared" ref="M22" si="10">K22+L22</f>
        <v>184155.44399999999</v>
      </c>
      <c r="N22" s="690"/>
    </row>
    <row r="23" spans="1:14">
      <c r="A23" s="683"/>
      <c r="B23" s="711" t="s">
        <v>39</v>
      </c>
      <c r="C23" s="712"/>
      <c r="D23" s="713"/>
      <c r="E23" s="714"/>
      <c r="F23" s="715">
        <f>F22</f>
        <v>184155.44</v>
      </c>
      <c r="G23" s="677"/>
      <c r="H23" s="677"/>
      <c r="I23" s="688"/>
      <c r="J23" s="698"/>
      <c r="K23" s="703">
        <f t="shared" ref="K23:M23" si="11">+SUBTOTAL(9,K22)</f>
        <v>129090.69272000002</v>
      </c>
      <c r="L23" s="703">
        <f t="shared" si="11"/>
        <v>55064.751279999975</v>
      </c>
      <c r="M23" s="703">
        <f t="shared" si="11"/>
        <v>184155.44399999999</v>
      </c>
      <c r="N23" s="690"/>
    </row>
    <row r="24" spans="1:14">
      <c r="A24" s="671" t="s">
        <v>34</v>
      </c>
      <c r="B24" s="711" t="s">
        <v>428</v>
      </c>
      <c r="C24" s="707"/>
      <c r="D24" s="708"/>
      <c r="E24" s="709"/>
      <c r="F24" s="710"/>
      <c r="G24" s="677"/>
      <c r="H24" s="677"/>
      <c r="I24" s="688"/>
      <c r="J24" s="698"/>
      <c r="K24" s="705"/>
      <c r="L24" s="681"/>
      <c r="M24" s="681"/>
      <c r="N24" s="690"/>
    </row>
    <row r="25" spans="1:14">
      <c r="A25" s="671">
        <v>1</v>
      </c>
      <c r="B25" s="711" t="s">
        <v>426</v>
      </c>
      <c r="C25" s="707"/>
      <c r="D25" s="708"/>
      <c r="E25" s="709"/>
      <c r="F25" s="710"/>
      <c r="G25" s="677"/>
      <c r="H25" s="677"/>
      <c r="I25" s="688"/>
      <c r="J25" s="698"/>
      <c r="K25" s="705"/>
      <c r="L25" s="681"/>
      <c r="M25" s="681"/>
      <c r="N25" s="690"/>
    </row>
    <row r="26" spans="1:14">
      <c r="A26" s="683">
        <v>1.01</v>
      </c>
      <c r="B26" s="706" t="s">
        <v>429</v>
      </c>
      <c r="C26" s="707">
        <v>23.33</v>
      </c>
      <c r="D26" s="708" t="s">
        <v>45</v>
      </c>
      <c r="E26" s="709">
        <v>28921.24</v>
      </c>
      <c r="F26" s="710">
        <v>674732.53</v>
      </c>
      <c r="G26" s="677">
        <v>23.33</v>
      </c>
      <c r="H26" s="677"/>
      <c r="I26" s="688">
        <f t="shared" ref="I26:I27" si="12">G26+H26</f>
        <v>23.33</v>
      </c>
      <c r="J26" s="689">
        <f t="shared" ref="J26:J32" si="13">I26/C26</f>
        <v>1</v>
      </c>
      <c r="K26" s="681">
        <v>674732.52919999999</v>
      </c>
      <c r="L26" s="681">
        <f t="shared" ref="L26:L32" si="14">H26*E26</f>
        <v>0</v>
      </c>
      <c r="M26" s="681">
        <f t="shared" ref="M26:M32" si="15">K26+L26</f>
        <v>674732.52919999999</v>
      </c>
      <c r="N26" s="690"/>
    </row>
    <row r="27" spans="1:14">
      <c r="A27" s="683">
        <v>1.02</v>
      </c>
      <c r="B27" s="706" t="s">
        <v>430</v>
      </c>
      <c r="C27" s="707">
        <v>36</v>
      </c>
      <c r="D27" s="708" t="s">
        <v>45</v>
      </c>
      <c r="E27" s="709">
        <v>17130.810000000001</v>
      </c>
      <c r="F27" s="710">
        <v>616709.23</v>
      </c>
      <c r="G27" s="677">
        <v>36</v>
      </c>
      <c r="H27" s="677"/>
      <c r="I27" s="688">
        <f t="shared" si="12"/>
        <v>36</v>
      </c>
      <c r="J27" s="689">
        <f t="shared" si="13"/>
        <v>1</v>
      </c>
      <c r="K27" s="681">
        <v>616709.16</v>
      </c>
      <c r="L27" s="681">
        <f t="shared" si="14"/>
        <v>0</v>
      </c>
      <c r="M27" s="681">
        <f t="shared" si="15"/>
        <v>616709.16</v>
      </c>
      <c r="N27" s="690"/>
    </row>
    <row r="28" spans="1:14">
      <c r="A28" s="683">
        <v>1.03</v>
      </c>
      <c r="B28" s="706" t="s">
        <v>431</v>
      </c>
      <c r="C28" s="707">
        <v>107.53</v>
      </c>
      <c r="D28" s="708" t="s">
        <v>45</v>
      </c>
      <c r="E28" s="709">
        <v>19346.84</v>
      </c>
      <c r="F28" s="710">
        <v>2080317.12</v>
      </c>
      <c r="G28" s="677">
        <v>107.53</v>
      </c>
      <c r="H28" s="677"/>
      <c r="I28" s="688">
        <f>G28+H28</f>
        <v>107.53</v>
      </c>
      <c r="J28" s="689">
        <f>I28/C28</f>
        <v>1</v>
      </c>
      <c r="K28" s="681">
        <v>2080365.7052000002</v>
      </c>
      <c r="L28" s="681">
        <f t="shared" si="14"/>
        <v>0</v>
      </c>
      <c r="M28" s="681">
        <f t="shared" si="15"/>
        <v>2080365.7052000002</v>
      </c>
      <c r="N28" s="690"/>
    </row>
    <row r="29" spans="1:14">
      <c r="A29" s="683">
        <v>1.04</v>
      </c>
      <c r="B29" s="706" t="s">
        <v>432</v>
      </c>
      <c r="C29" s="707">
        <v>32.130000000000003</v>
      </c>
      <c r="D29" s="708" t="s">
        <v>45</v>
      </c>
      <c r="E29" s="709">
        <v>29188.959999999999</v>
      </c>
      <c r="F29" s="710">
        <v>937841.28</v>
      </c>
      <c r="G29" s="677">
        <v>32.130000000000003</v>
      </c>
      <c r="H29" s="677"/>
      <c r="I29" s="688">
        <f t="shared" ref="I29:I32" si="16">G29+H29</f>
        <v>32.130000000000003</v>
      </c>
      <c r="J29" s="689">
        <f>I29/C29</f>
        <v>1</v>
      </c>
      <c r="K29" s="705">
        <v>937841.28480000002</v>
      </c>
      <c r="L29" s="681">
        <f t="shared" si="14"/>
        <v>0</v>
      </c>
      <c r="M29" s="681">
        <f t="shared" si="15"/>
        <v>937841.28480000002</v>
      </c>
      <c r="N29" s="690"/>
    </row>
    <row r="30" spans="1:14">
      <c r="A30" s="683">
        <v>1.05</v>
      </c>
      <c r="B30" s="706" t="s">
        <v>433</v>
      </c>
      <c r="C30" s="707">
        <v>2.38</v>
      </c>
      <c r="D30" s="708" t="s">
        <v>45</v>
      </c>
      <c r="E30" s="709">
        <v>43456.03</v>
      </c>
      <c r="F30" s="710">
        <v>103425.35</v>
      </c>
      <c r="G30" s="677">
        <v>2.38</v>
      </c>
      <c r="H30" s="677"/>
      <c r="I30" s="688">
        <f t="shared" si="16"/>
        <v>2.38</v>
      </c>
      <c r="J30" s="689">
        <f t="shared" si="13"/>
        <v>1</v>
      </c>
      <c r="K30" s="705">
        <v>103425.3514</v>
      </c>
      <c r="L30" s="681">
        <f t="shared" si="14"/>
        <v>0</v>
      </c>
      <c r="M30" s="681">
        <f t="shared" si="15"/>
        <v>103425.3514</v>
      </c>
      <c r="N30" s="690"/>
    </row>
    <row r="31" spans="1:14">
      <c r="A31" s="683">
        <v>1.06</v>
      </c>
      <c r="B31" s="716" t="s">
        <v>434</v>
      </c>
      <c r="C31" s="691">
        <v>191.71</v>
      </c>
      <c r="D31" s="685" t="s">
        <v>45</v>
      </c>
      <c r="E31" s="692">
        <v>21597.32</v>
      </c>
      <c r="F31" s="687">
        <v>4140465.92</v>
      </c>
      <c r="G31" s="677">
        <v>191.71</v>
      </c>
      <c r="H31" s="677"/>
      <c r="I31" s="688">
        <f t="shared" si="16"/>
        <v>191.71</v>
      </c>
      <c r="J31" s="689">
        <f t="shared" si="13"/>
        <v>1</v>
      </c>
      <c r="K31" s="681">
        <v>4140422.2172000003</v>
      </c>
      <c r="L31" s="681">
        <f t="shared" si="14"/>
        <v>0</v>
      </c>
      <c r="M31" s="681">
        <f t="shared" si="15"/>
        <v>4140422.2172000003</v>
      </c>
      <c r="N31" s="690"/>
    </row>
    <row r="32" spans="1:14">
      <c r="A32" s="683">
        <v>1.07</v>
      </c>
      <c r="B32" s="706" t="s">
        <v>435</v>
      </c>
      <c r="C32" s="707">
        <v>61.16</v>
      </c>
      <c r="D32" s="708" t="s">
        <v>45</v>
      </c>
      <c r="E32" s="709">
        <v>24931.97</v>
      </c>
      <c r="F32" s="710">
        <v>1524838.99</v>
      </c>
      <c r="G32" s="677">
        <v>61.16</v>
      </c>
      <c r="H32" s="677"/>
      <c r="I32" s="688">
        <f t="shared" si="16"/>
        <v>61.16</v>
      </c>
      <c r="J32" s="689">
        <f t="shared" si="13"/>
        <v>1</v>
      </c>
      <c r="K32" s="681">
        <v>1524839.2852</v>
      </c>
      <c r="L32" s="681">
        <f t="shared" si="14"/>
        <v>0</v>
      </c>
      <c r="M32" s="681">
        <f t="shared" si="15"/>
        <v>1524839.2852</v>
      </c>
      <c r="N32" s="690"/>
    </row>
    <row r="33" spans="1:14">
      <c r="A33" s="683"/>
      <c r="B33" s="711" t="s">
        <v>39</v>
      </c>
      <c r="C33" s="712">
        <f>SUM(C22:C32)</f>
        <v>470.43999999999994</v>
      </c>
      <c r="D33" s="713"/>
      <c r="E33" s="714"/>
      <c r="F33" s="715">
        <f>SUM(F26:F32)</f>
        <v>10078330.42</v>
      </c>
      <c r="G33" s="677"/>
      <c r="H33" s="677"/>
      <c r="I33" s="688"/>
      <c r="J33" s="698"/>
      <c r="K33" s="703">
        <f t="shared" ref="K33:M33" si="17">+SUBTOTAL(9,K26:K32)</f>
        <v>10078335.533</v>
      </c>
      <c r="L33" s="703">
        <f t="shared" si="17"/>
        <v>0</v>
      </c>
      <c r="M33" s="703">
        <f t="shared" si="17"/>
        <v>10078335.533</v>
      </c>
      <c r="N33" s="690"/>
    </row>
    <row r="34" spans="1:14">
      <c r="A34" s="671">
        <v>2</v>
      </c>
      <c r="B34" s="711" t="s">
        <v>436</v>
      </c>
      <c r="C34" s="707"/>
      <c r="D34" s="708"/>
      <c r="E34" s="709"/>
      <c r="F34" s="710"/>
      <c r="G34" s="677"/>
      <c r="H34" s="677"/>
      <c r="I34" s="688"/>
      <c r="J34" s="698"/>
      <c r="K34" s="705"/>
      <c r="L34" s="681"/>
      <c r="M34" s="681"/>
      <c r="N34" s="690"/>
    </row>
    <row r="35" spans="1:14">
      <c r="A35" s="700">
        <v>2.0099999999999998</v>
      </c>
      <c r="B35" s="706" t="s">
        <v>437</v>
      </c>
      <c r="C35" s="707">
        <v>223.06</v>
      </c>
      <c r="D35" s="708" t="s">
        <v>222</v>
      </c>
      <c r="E35" s="709">
        <v>1479.5</v>
      </c>
      <c r="F35" s="710">
        <v>330017.27</v>
      </c>
      <c r="G35" s="677">
        <v>223.06</v>
      </c>
      <c r="H35" s="677"/>
      <c r="I35" s="688">
        <f t="shared" ref="I35" si="18">G35+H35</f>
        <v>223.06</v>
      </c>
      <c r="J35" s="689">
        <f t="shared" ref="J35" si="19">I35/C35</f>
        <v>1</v>
      </c>
      <c r="K35" s="705">
        <v>330017.27</v>
      </c>
      <c r="L35" s="681">
        <f t="shared" ref="L35" si="20">H35*E35</f>
        <v>0</v>
      </c>
      <c r="M35" s="681">
        <f t="shared" ref="M35:M40" si="21">K35+L35</f>
        <v>330017.27</v>
      </c>
      <c r="N35" s="690"/>
    </row>
    <row r="36" spans="1:14">
      <c r="A36" s="683"/>
      <c r="B36" s="711" t="s">
        <v>39</v>
      </c>
      <c r="C36" s="712"/>
      <c r="D36" s="713"/>
      <c r="E36" s="714"/>
      <c r="F36" s="715">
        <f>F35</f>
        <v>330017.27</v>
      </c>
      <c r="G36" s="677"/>
      <c r="H36" s="677"/>
      <c r="I36" s="688"/>
      <c r="J36" s="698"/>
      <c r="K36" s="703">
        <f>+SUBTOTAL(9,K35)</f>
        <v>330017.27</v>
      </c>
      <c r="L36" s="703">
        <f>+SUBTOTAL(9,L35)</f>
        <v>0</v>
      </c>
      <c r="M36" s="703">
        <f>+SUBTOTAL(9,M35)</f>
        <v>330017.27</v>
      </c>
      <c r="N36" s="690"/>
    </row>
    <row r="37" spans="1:14">
      <c r="A37" s="671">
        <v>3</v>
      </c>
      <c r="B37" s="711" t="s">
        <v>438</v>
      </c>
      <c r="C37" s="707"/>
      <c r="D37" s="708"/>
      <c r="E37" s="709"/>
      <c r="F37" s="710"/>
      <c r="G37" s="677"/>
      <c r="H37" s="677"/>
      <c r="I37" s="688"/>
      <c r="J37" s="698"/>
      <c r="K37" s="705"/>
      <c r="L37" s="681"/>
      <c r="M37" s="681"/>
      <c r="N37" s="690"/>
    </row>
    <row r="38" spans="1:14">
      <c r="A38" s="683">
        <v>3.01</v>
      </c>
      <c r="B38" s="706" t="s">
        <v>439</v>
      </c>
      <c r="C38" s="707">
        <v>992.68</v>
      </c>
      <c r="D38" s="708" t="s">
        <v>222</v>
      </c>
      <c r="E38" s="709">
        <v>64.19</v>
      </c>
      <c r="F38" s="710">
        <v>63720.13</v>
      </c>
      <c r="G38" s="677">
        <v>595.60799999999995</v>
      </c>
      <c r="H38" s="677">
        <f>+C38-G38</f>
        <v>397.072</v>
      </c>
      <c r="I38" s="688">
        <f t="shared" ref="I38:I40" si="22">G38+H38</f>
        <v>992.68</v>
      </c>
      <c r="J38" s="689">
        <f t="shared" ref="J38:J40" si="23">I38/C38</f>
        <v>1</v>
      </c>
      <c r="K38" s="705">
        <v>38232.077519999992</v>
      </c>
      <c r="L38" s="681">
        <f t="shared" ref="L38:L40" si="24">H38*E38</f>
        <v>25488.05168</v>
      </c>
      <c r="M38" s="681">
        <f t="shared" si="21"/>
        <v>63720.129199999996</v>
      </c>
      <c r="N38" s="690"/>
    </row>
    <row r="39" spans="1:14" ht="26.25">
      <c r="A39" s="700">
        <v>3.02</v>
      </c>
      <c r="B39" s="706" t="s">
        <v>440</v>
      </c>
      <c r="C39" s="707">
        <v>446.12</v>
      </c>
      <c r="D39" s="708" t="s">
        <v>222</v>
      </c>
      <c r="E39" s="709">
        <v>461.37</v>
      </c>
      <c r="F39" s="710">
        <v>205826.38</v>
      </c>
      <c r="G39" s="677">
        <v>267.67199999999997</v>
      </c>
      <c r="H39" s="677">
        <f t="shared" ref="H39:H40" si="25">+C39-G39</f>
        <v>178.44800000000004</v>
      </c>
      <c r="I39" s="688">
        <f t="shared" si="22"/>
        <v>446.12</v>
      </c>
      <c r="J39" s="689">
        <f t="shared" si="23"/>
        <v>1</v>
      </c>
      <c r="K39" s="705">
        <v>123495.83063999999</v>
      </c>
      <c r="L39" s="681">
        <f t="shared" si="24"/>
        <v>82330.553760000024</v>
      </c>
      <c r="M39" s="681">
        <f t="shared" si="21"/>
        <v>205826.38440000001</v>
      </c>
      <c r="N39" s="690"/>
    </row>
    <row r="40" spans="1:14">
      <c r="A40" s="683">
        <v>3.03</v>
      </c>
      <c r="B40" s="706" t="s">
        <v>441</v>
      </c>
      <c r="C40" s="707">
        <v>30.77</v>
      </c>
      <c r="D40" s="708" t="s">
        <v>38</v>
      </c>
      <c r="E40" s="709">
        <v>137.16999999999999</v>
      </c>
      <c r="F40" s="710">
        <v>4220.72</v>
      </c>
      <c r="G40" s="677">
        <v>18.462</v>
      </c>
      <c r="H40" s="677">
        <f t="shared" si="25"/>
        <v>12.308</v>
      </c>
      <c r="I40" s="688">
        <f t="shared" si="22"/>
        <v>30.77</v>
      </c>
      <c r="J40" s="689">
        <f t="shared" si="23"/>
        <v>1</v>
      </c>
      <c r="K40" s="705">
        <v>2532.4325399999998</v>
      </c>
      <c r="L40" s="681">
        <f t="shared" si="24"/>
        <v>1688.2883599999998</v>
      </c>
      <c r="M40" s="681">
        <f t="shared" si="21"/>
        <v>4220.7208999999993</v>
      </c>
      <c r="N40" s="690"/>
    </row>
    <row r="41" spans="1:14">
      <c r="A41" s="683"/>
      <c r="B41" s="711" t="s">
        <v>39</v>
      </c>
      <c r="C41" s="712"/>
      <c r="D41" s="713"/>
      <c r="E41" s="714"/>
      <c r="F41" s="715">
        <f>SUM(F38:F40)</f>
        <v>273767.23</v>
      </c>
      <c r="G41" s="677"/>
      <c r="H41" s="677"/>
      <c r="I41" s="688"/>
      <c r="J41" s="698"/>
      <c r="K41" s="703">
        <f>+SUBTOTAL(9,K38:K40)</f>
        <v>164260.3407</v>
      </c>
      <c r="L41" s="703">
        <f>+SUBTOTAL(9,L38:L40)</f>
        <v>109506.89380000003</v>
      </c>
      <c r="M41" s="703">
        <f>+SUBTOTAL(9,M38:M40)</f>
        <v>273767.23450000002</v>
      </c>
      <c r="N41" s="690"/>
    </row>
    <row r="42" spans="1:14">
      <c r="A42" s="671">
        <v>4</v>
      </c>
      <c r="B42" s="711" t="s">
        <v>442</v>
      </c>
      <c r="C42" s="707"/>
      <c r="D42" s="708"/>
      <c r="E42" s="709"/>
      <c r="F42" s="710"/>
      <c r="G42" s="677"/>
      <c r="H42" s="677"/>
      <c r="I42" s="688"/>
      <c r="J42" s="698"/>
      <c r="K42" s="705"/>
      <c r="L42" s="681"/>
      <c r="M42" s="681"/>
      <c r="N42" s="690"/>
    </row>
    <row r="43" spans="1:14">
      <c r="A43" s="683">
        <v>4.01</v>
      </c>
      <c r="B43" s="706" t="s">
        <v>443</v>
      </c>
      <c r="C43" s="707">
        <v>32</v>
      </c>
      <c r="D43" s="708" t="s">
        <v>222</v>
      </c>
      <c r="E43" s="709">
        <v>1798.75</v>
      </c>
      <c r="F43" s="710">
        <v>57560</v>
      </c>
      <c r="G43" s="677"/>
      <c r="H43" s="677">
        <f>+C43/2</f>
        <v>16</v>
      </c>
      <c r="I43" s="688">
        <f t="shared" ref="I43:I48" si="26">G43+H43</f>
        <v>16</v>
      </c>
      <c r="J43" s="689">
        <f t="shared" ref="J43:J48" si="27">I43/C43</f>
        <v>0.5</v>
      </c>
      <c r="K43" s="705"/>
      <c r="L43" s="681">
        <f t="shared" ref="L43:L48" si="28">H43*E43</f>
        <v>28780</v>
      </c>
      <c r="M43" s="681">
        <f t="shared" ref="M43:M48" si="29">K43+L43</f>
        <v>28780</v>
      </c>
      <c r="N43" s="690"/>
    </row>
    <row r="44" spans="1:14">
      <c r="A44" s="683">
        <v>4.0199999999999996</v>
      </c>
      <c r="B44" s="706" t="s">
        <v>444</v>
      </c>
      <c r="C44" s="707">
        <v>2.6</v>
      </c>
      <c r="D44" s="708" t="s">
        <v>222</v>
      </c>
      <c r="E44" s="709">
        <v>1748.75</v>
      </c>
      <c r="F44" s="710">
        <v>4546.75</v>
      </c>
      <c r="G44" s="677"/>
      <c r="H44" s="677">
        <f t="shared" ref="H44:H48" si="30">+C44/2</f>
        <v>1.3</v>
      </c>
      <c r="I44" s="688">
        <f t="shared" si="26"/>
        <v>1.3</v>
      </c>
      <c r="J44" s="689">
        <f t="shared" si="27"/>
        <v>0.5</v>
      </c>
      <c r="K44" s="705"/>
      <c r="L44" s="681">
        <f t="shared" si="28"/>
        <v>2273.375</v>
      </c>
      <c r="M44" s="681">
        <f t="shared" si="29"/>
        <v>2273.375</v>
      </c>
      <c r="N44" s="690"/>
    </row>
    <row r="45" spans="1:14">
      <c r="A45" s="683">
        <v>4.03</v>
      </c>
      <c r="B45" s="706" t="s">
        <v>445</v>
      </c>
      <c r="C45" s="707">
        <v>258.33</v>
      </c>
      <c r="D45" s="708" t="s">
        <v>446</v>
      </c>
      <c r="E45" s="709">
        <v>649</v>
      </c>
      <c r="F45" s="710">
        <v>167656.17000000001</v>
      </c>
      <c r="G45" s="677"/>
      <c r="H45" s="677">
        <f t="shared" si="30"/>
        <v>129.16499999999999</v>
      </c>
      <c r="I45" s="688">
        <f t="shared" si="26"/>
        <v>129.16499999999999</v>
      </c>
      <c r="J45" s="689">
        <f t="shared" si="27"/>
        <v>0.5</v>
      </c>
      <c r="K45" s="705"/>
      <c r="L45" s="681">
        <f t="shared" si="28"/>
        <v>83828.084999999992</v>
      </c>
      <c r="M45" s="681">
        <f t="shared" si="29"/>
        <v>83828.084999999992</v>
      </c>
      <c r="N45" s="690"/>
    </row>
    <row r="46" spans="1:14">
      <c r="A46" s="700">
        <v>4.04</v>
      </c>
      <c r="B46" s="706" t="s">
        <v>447</v>
      </c>
      <c r="C46" s="707">
        <v>18</v>
      </c>
      <c r="D46" s="708" t="s">
        <v>222</v>
      </c>
      <c r="E46" s="709">
        <v>6983.24</v>
      </c>
      <c r="F46" s="710">
        <v>125698.32</v>
      </c>
      <c r="G46" s="677"/>
      <c r="H46" s="677">
        <f t="shared" si="30"/>
        <v>9</v>
      </c>
      <c r="I46" s="688">
        <f t="shared" si="26"/>
        <v>9</v>
      </c>
      <c r="J46" s="689">
        <f t="shared" si="27"/>
        <v>0.5</v>
      </c>
      <c r="K46" s="705"/>
      <c r="L46" s="681">
        <f t="shared" si="28"/>
        <v>62849.159999999996</v>
      </c>
      <c r="M46" s="681">
        <f t="shared" si="29"/>
        <v>62849.159999999996</v>
      </c>
      <c r="N46" s="690"/>
    </row>
    <row r="47" spans="1:14">
      <c r="A47" s="683">
        <v>4.05</v>
      </c>
      <c r="B47" s="706" t="s">
        <v>448</v>
      </c>
      <c r="C47" s="707">
        <v>279</v>
      </c>
      <c r="D47" s="708" t="s">
        <v>222</v>
      </c>
      <c r="E47" s="709">
        <v>1282.6300000000001</v>
      </c>
      <c r="F47" s="710">
        <v>357853.08</v>
      </c>
      <c r="G47" s="677"/>
      <c r="H47" s="677">
        <f t="shared" si="30"/>
        <v>139.5</v>
      </c>
      <c r="I47" s="688">
        <f t="shared" si="26"/>
        <v>139.5</v>
      </c>
      <c r="J47" s="689">
        <f t="shared" si="27"/>
        <v>0.5</v>
      </c>
      <c r="K47" s="705"/>
      <c r="L47" s="681">
        <f t="shared" si="28"/>
        <v>178926.88500000001</v>
      </c>
      <c r="M47" s="681">
        <f t="shared" si="29"/>
        <v>178926.88500000001</v>
      </c>
      <c r="N47" s="690"/>
    </row>
    <row r="48" spans="1:14">
      <c r="A48" s="683">
        <v>4.0599999999999996</v>
      </c>
      <c r="B48" s="706" t="s">
        <v>449</v>
      </c>
      <c r="C48" s="707">
        <v>35</v>
      </c>
      <c r="D48" s="708" t="s">
        <v>222</v>
      </c>
      <c r="E48" s="709">
        <v>1441.41</v>
      </c>
      <c r="F48" s="710">
        <v>50449.36</v>
      </c>
      <c r="G48" s="677"/>
      <c r="H48" s="677">
        <f t="shared" si="30"/>
        <v>17.5</v>
      </c>
      <c r="I48" s="688">
        <f t="shared" si="26"/>
        <v>17.5</v>
      </c>
      <c r="J48" s="689">
        <f t="shared" si="27"/>
        <v>0.5</v>
      </c>
      <c r="K48" s="705"/>
      <c r="L48" s="681">
        <f t="shared" si="28"/>
        <v>25224.675000000003</v>
      </c>
      <c r="M48" s="681">
        <f t="shared" si="29"/>
        <v>25224.675000000003</v>
      </c>
      <c r="N48" s="690"/>
    </row>
    <row r="49" spans="1:14">
      <c r="A49" s="683"/>
      <c r="B49" s="711" t="s">
        <v>39</v>
      </c>
      <c r="C49" s="712"/>
      <c r="D49" s="713"/>
      <c r="E49" s="714"/>
      <c r="F49" s="715">
        <f>SUM(F43:F48)</f>
        <v>763763.68</v>
      </c>
      <c r="G49" s="677"/>
      <c r="H49" s="677"/>
      <c r="I49" s="688"/>
      <c r="J49" s="698"/>
      <c r="K49" s="703">
        <f>+SUBTOTAL(9,K46:K48)</f>
        <v>0</v>
      </c>
      <c r="L49" s="703">
        <f>+SUBTOTAL(9,L46:L48)</f>
        <v>267000.72000000003</v>
      </c>
      <c r="M49" s="703">
        <f>+SUBTOTAL(9,M46:M48)</f>
        <v>267000.72000000003</v>
      </c>
      <c r="N49" s="690"/>
    </row>
    <row r="50" spans="1:14">
      <c r="A50" s="671">
        <v>5</v>
      </c>
      <c r="B50" s="711" t="s">
        <v>450</v>
      </c>
      <c r="C50" s="707"/>
      <c r="D50" s="708"/>
      <c r="E50" s="709"/>
      <c r="F50" s="710"/>
      <c r="G50" s="677"/>
      <c r="H50" s="677"/>
      <c r="I50" s="688"/>
      <c r="J50" s="698"/>
      <c r="K50" s="705"/>
      <c r="L50" s="681"/>
      <c r="M50" s="681"/>
      <c r="N50" s="690"/>
    </row>
    <row r="51" spans="1:14">
      <c r="A51" s="683">
        <v>5.01</v>
      </c>
      <c r="B51" s="706" t="s">
        <v>451</v>
      </c>
      <c r="C51" s="707">
        <v>500</v>
      </c>
      <c r="D51" s="708" t="s">
        <v>222</v>
      </c>
      <c r="E51" s="709">
        <v>1800.51</v>
      </c>
      <c r="F51" s="710">
        <v>900255</v>
      </c>
      <c r="G51" s="677"/>
      <c r="H51" s="677">
        <f>+C51/2</f>
        <v>250</v>
      </c>
      <c r="I51" s="688">
        <f t="shared" ref="I51:I53" si="31">G51+H51</f>
        <v>250</v>
      </c>
      <c r="J51" s="689">
        <f t="shared" ref="J51:J53" si="32">I51/C51</f>
        <v>0.5</v>
      </c>
      <c r="K51" s="705"/>
      <c r="L51" s="681">
        <f t="shared" ref="L51:L53" si="33">H51*E51</f>
        <v>450127.5</v>
      </c>
      <c r="M51" s="681">
        <f t="shared" ref="M51:M53" si="34">K51+L51</f>
        <v>450127.5</v>
      </c>
      <c r="N51" s="690"/>
    </row>
    <row r="52" spans="1:14">
      <c r="A52" s="683">
        <v>5.0199999999999996</v>
      </c>
      <c r="B52" s="706" t="s">
        <v>452</v>
      </c>
      <c r="C52" s="707">
        <v>240</v>
      </c>
      <c r="D52" s="708" t="s">
        <v>38</v>
      </c>
      <c r="E52" s="709">
        <v>277.51</v>
      </c>
      <c r="F52" s="710">
        <v>66602.399999999994</v>
      </c>
      <c r="G52" s="677"/>
      <c r="H52" s="677">
        <f t="shared" ref="H52:H53" si="35">+C52/2</f>
        <v>120</v>
      </c>
      <c r="I52" s="688">
        <f t="shared" si="31"/>
        <v>120</v>
      </c>
      <c r="J52" s="689">
        <f t="shared" si="32"/>
        <v>0.5</v>
      </c>
      <c r="K52" s="705"/>
      <c r="L52" s="681">
        <f t="shared" si="33"/>
        <v>33301.199999999997</v>
      </c>
      <c r="M52" s="681">
        <f t="shared" si="34"/>
        <v>33301.199999999997</v>
      </c>
      <c r="N52" s="690"/>
    </row>
    <row r="53" spans="1:14">
      <c r="A53" s="683">
        <v>5.03</v>
      </c>
      <c r="B53" s="706" t="s">
        <v>453</v>
      </c>
      <c r="C53" s="707">
        <v>35</v>
      </c>
      <c r="D53" s="708" t="s">
        <v>222</v>
      </c>
      <c r="E53" s="709">
        <v>1948.43</v>
      </c>
      <c r="F53" s="710">
        <v>68195.05</v>
      </c>
      <c r="G53" s="677"/>
      <c r="H53" s="677">
        <f t="shared" si="35"/>
        <v>17.5</v>
      </c>
      <c r="I53" s="688">
        <f t="shared" si="31"/>
        <v>17.5</v>
      </c>
      <c r="J53" s="689">
        <f t="shared" si="32"/>
        <v>0.5</v>
      </c>
      <c r="K53" s="705"/>
      <c r="L53" s="681">
        <f t="shared" si="33"/>
        <v>34097.525000000001</v>
      </c>
      <c r="M53" s="681">
        <f t="shared" si="34"/>
        <v>34097.525000000001</v>
      </c>
      <c r="N53" s="690"/>
    </row>
    <row r="54" spans="1:14">
      <c r="A54" s="683"/>
      <c r="B54" s="711" t="s">
        <v>39</v>
      </c>
      <c r="C54" s="712"/>
      <c r="D54" s="713"/>
      <c r="E54" s="714"/>
      <c r="F54" s="715">
        <f>SUM(F51:F53)</f>
        <v>1035052.4500000001</v>
      </c>
      <c r="G54" s="677"/>
      <c r="H54" s="677"/>
      <c r="I54" s="688"/>
      <c r="J54" s="698"/>
      <c r="K54" s="703">
        <f>+SUBTOTAL(9,K51:K53)</f>
        <v>0</v>
      </c>
      <c r="L54" s="703">
        <f>+SUBTOTAL(9,L51:L53)</f>
        <v>517526.22500000003</v>
      </c>
      <c r="M54" s="703">
        <f>+SUBTOTAL(9,M51:M53)</f>
        <v>517526.22500000003</v>
      </c>
      <c r="N54" s="690"/>
    </row>
    <row r="55" spans="1:14">
      <c r="A55" s="671">
        <v>6</v>
      </c>
      <c r="B55" s="711" t="s">
        <v>454</v>
      </c>
      <c r="C55" s="707"/>
      <c r="D55" s="708"/>
      <c r="E55" s="709"/>
      <c r="F55" s="710"/>
      <c r="G55" s="677"/>
      <c r="H55" s="677"/>
      <c r="I55" s="688"/>
      <c r="J55" s="698"/>
      <c r="K55" s="705"/>
      <c r="L55" s="681"/>
      <c r="M55" s="681"/>
      <c r="N55" s="690"/>
    </row>
    <row r="56" spans="1:14" ht="26.25">
      <c r="A56" s="683">
        <v>6.01</v>
      </c>
      <c r="B56" s="706" t="s">
        <v>455</v>
      </c>
      <c r="C56" s="707">
        <v>2</v>
      </c>
      <c r="D56" s="708" t="s">
        <v>52</v>
      </c>
      <c r="E56" s="709">
        <v>40655.199999999997</v>
      </c>
      <c r="F56" s="710">
        <v>81310.399999999994</v>
      </c>
      <c r="G56" s="677"/>
      <c r="H56" s="677">
        <f>+C56/2</f>
        <v>1</v>
      </c>
      <c r="I56" s="688">
        <f t="shared" ref="I56:I58" si="36">G56+H56</f>
        <v>1</v>
      </c>
      <c r="J56" s="689">
        <f t="shared" ref="J56:J58" si="37">I56/C56</f>
        <v>0.5</v>
      </c>
      <c r="K56" s="705"/>
      <c r="L56" s="681">
        <f t="shared" ref="L56:L58" si="38">H56*E56</f>
        <v>40655.199999999997</v>
      </c>
      <c r="M56" s="681">
        <f t="shared" ref="M56:M58" si="39">K56+L56</f>
        <v>40655.199999999997</v>
      </c>
      <c r="N56" s="690"/>
    </row>
    <row r="57" spans="1:14">
      <c r="A57" s="683">
        <v>6.02</v>
      </c>
      <c r="B57" s="706" t="s">
        <v>456</v>
      </c>
      <c r="C57" s="707">
        <v>4</v>
      </c>
      <c r="D57" s="708" t="s">
        <v>52</v>
      </c>
      <c r="E57" s="709">
        <v>25259.82</v>
      </c>
      <c r="F57" s="710">
        <v>101039.28</v>
      </c>
      <c r="G57" s="677"/>
      <c r="H57" s="677">
        <f t="shared" ref="H57:H58" si="40">+C57/2</f>
        <v>2</v>
      </c>
      <c r="I57" s="688">
        <f t="shared" si="36"/>
        <v>2</v>
      </c>
      <c r="J57" s="689">
        <f t="shared" si="37"/>
        <v>0.5</v>
      </c>
      <c r="K57" s="705"/>
      <c r="L57" s="681">
        <f t="shared" si="38"/>
        <v>50519.64</v>
      </c>
      <c r="M57" s="681">
        <f t="shared" si="39"/>
        <v>50519.64</v>
      </c>
      <c r="N57" s="690"/>
    </row>
    <row r="58" spans="1:14">
      <c r="A58" s="683">
        <v>6.03</v>
      </c>
      <c r="B58" s="706" t="s">
        <v>457</v>
      </c>
      <c r="C58" s="707">
        <v>4</v>
      </c>
      <c r="D58" s="708" t="s">
        <v>52</v>
      </c>
      <c r="E58" s="709">
        <v>19857.84</v>
      </c>
      <c r="F58" s="710">
        <v>79431.360000000001</v>
      </c>
      <c r="G58" s="677"/>
      <c r="H58" s="677">
        <f t="shared" si="40"/>
        <v>2</v>
      </c>
      <c r="I58" s="688">
        <f t="shared" si="36"/>
        <v>2</v>
      </c>
      <c r="J58" s="689">
        <f t="shared" si="37"/>
        <v>0.5</v>
      </c>
      <c r="K58" s="705"/>
      <c r="L58" s="681">
        <f t="shared" si="38"/>
        <v>39715.68</v>
      </c>
      <c r="M58" s="681">
        <f t="shared" si="39"/>
        <v>39715.68</v>
      </c>
      <c r="N58" s="690"/>
    </row>
    <row r="59" spans="1:14">
      <c r="A59" s="683"/>
      <c r="B59" s="711" t="s">
        <v>39</v>
      </c>
      <c r="C59" s="712"/>
      <c r="D59" s="713"/>
      <c r="E59" s="714"/>
      <c r="F59" s="715">
        <f>SUM(F56:F58)</f>
        <v>261781.03999999998</v>
      </c>
      <c r="G59" s="677"/>
      <c r="H59" s="677"/>
      <c r="I59" s="688"/>
      <c r="J59" s="698"/>
      <c r="K59" s="703">
        <f>+SUBTOTAL(9,K56:K58)</f>
        <v>0</v>
      </c>
      <c r="L59" s="703">
        <f>+SUBTOTAL(9,L56:L58)</f>
        <v>130890.51999999999</v>
      </c>
      <c r="M59" s="703">
        <f>+SUBTOTAL(9,M56:M58)</f>
        <v>130890.51999999999</v>
      </c>
      <c r="N59" s="690"/>
    </row>
    <row r="60" spans="1:14">
      <c r="A60" s="671">
        <v>7</v>
      </c>
      <c r="B60" s="711" t="s">
        <v>458</v>
      </c>
      <c r="C60" s="707"/>
      <c r="D60" s="708"/>
      <c r="E60" s="709"/>
      <c r="F60" s="710"/>
      <c r="G60" s="677"/>
      <c r="H60" s="677"/>
      <c r="I60" s="688"/>
      <c r="J60" s="698"/>
      <c r="K60" s="705"/>
      <c r="L60" s="681"/>
      <c r="M60" s="681"/>
      <c r="N60" s="690"/>
    </row>
    <row r="61" spans="1:14" ht="26.25">
      <c r="A61" s="700">
        <v>7.01</v>
      </c>
      <c r="B61" s="706" t="s">
        <v>459</v>
      </c>
      <c r="C61" s="707">
        <v>10.34</v>
      </c>
      <c r="D61" s="708" t="s">
        <v>446</v>
      </c>
      <c r="E61" s="709">
        <v>882.05</v>
      </c>
      <c r="F61" s="710">
        <v>9120.4</v>
      </c>
      <c r="G61" s="677"/>
      <c r="H61" s="677"/>
      <c r="I61" s="688"/>
      <c r="J61" s="698"/>
      <c r="K61" s="705"/>
      <c r="L61" s="681"/>
      <c r="M61" s="681"/>
      <c r="N61" s="690"/>
    </row>
    <row r="62" spans="1:14">
      <c r="A62" s="683"/>
      <c r="B62" s="711" t="s">
        <v>39</v>
      </c>
      <c r="C62" s="712"/>
      <c r="D62" s="713"/>
      <c r="E62" s="714"/>
      <c r="F62" s="715">
        <f>F61</f>
        <v>9120.4</v>
      </c>
      <c r="G62" s="677"/>
      <c r="H62" s="677"/>
      <c r="I62" s="688"/>
      <c r="J62" s="698"/>
      <c r="K62" s="705"/>
      <c r="L62" s="681"/>
      <c r="M62" s="681"/>
      <c r="N62" s="690"/>
    </row>
    <row r="63" spans="1:14">
      <c r="A63" s="671">
        <v>8</v>
      </c>
      <c r="B63" s="711" t="s">
        <v>460</v>
      </c>
      <c r="C63" s="707"/>
      <c r="D63" s="708"/>
      <c r="E63" s="709"/>
      <c r="F63" s="710"/>
      <c r="G63" s="677"/>
      <c r="H63" s="677"/>
      <c r="I63" s="688"/>
      <c r="J63" s="698"/>
      <c r="K63" s="705"/>
      <c r="L63" s="681"/>
      <c r="M63" s="681"/>
      <c r="N63" s="690"/>
    </row>
    <row r="64" spans="1:14">
      <c r="A64" s="683">
        <v>8.01</v>
      </c>
      <c r="B64" s="706" t="s">
        <v>461</v>
      </c>
      <c r="C64" s="717">
        <v>14.96</v>
      </c>
      <c r="D64" s="718" t="s">
        <v>38</v>
      </c>
      <c r="E64" s="719">
        <v>2764.21</v>
      </c>
      <c r="F64" s="720">
        <v>41352.58</v>
      </c>
      <c r="G64" s="677"/>
      <c r="H64" s="677"/>
      <c r="I64" s="688"/>
      <c r="J64" s="698"/>
      <c r="K64" s="705"/>
      <c r="L64" s="681"/>
      <c r="M64" s="681"/>
      <c r="N64" s="690"/>
    </row>
    <row r="65" spans="1:14">
      <c r="A65" s="683">
        <v>8.02</v>
      </c>
      <c r="B65" s="721" t="s">
        <v>462</v>
      </c>
      <c r="C65" s="722">
        <v>4</v>
      </c>
      <c r="D65" s="723" t="s">
        <v>222</v>
      </c>
      <c r="E65" s="724">
        <v>1800.51</v>
      </c>
      <c r="F65" s="725">
        <v>7202.04</v>
      </c>
      <c r="G65" s="677"/>
      <c r="H65" s="677"/>
      <c r="I65" s="688"/>
      <c r="J65" s="698"/>
      <c r="K65" s="705"/>
      <c r="L65" s="681"/>
      <c r="M65" s="681"/>
      <c r="N65" s="690"/>
    </row>
    <row r="66" spans="1:14">
      <c r="A66" s="683"/>
      <c r="B66" s="726" t="s">
        <v>39</v>
      </c>
      <c r="C66" s="727"/>
      <c r="D66" s="728"/>
      <c r="E66" s="729"/>
      <c r="F66" s="730">
        <f>SUM(F64:F65)</f>
        <v>48554.62</v>
      </c>
      <c r="G66" s="677"/>
      <c r="H66" s="677"/>
      <c r="I66" s="688"/>
      <c r="J66" s="698"/>
      <c r="K66" s="705"/>
      <c r="L66" s="681"/>
      <c r="M66" s="681"/>
      <c r="N66" s="690"/>
    </row>
    <row r="67" spans="1:14">
      <c r="A67" s="731">
        <v>9</v>
      </c>
      <c r="B67" s="732" t="s">
        <v>463</v>
      </c>
      <c r="C67" s="733"/>
      <c r="D67" s="734"/>
      <c r="E67" s="733"/>
      <c r="F67" s="735"/>
      <c r="G67" s="677"/>
      <c r="H67" s="677"/>
      <c r="I67" s="688"/>
      <c r="J67" s="698"/>
      <c r="K67" s="705"/>
      <c r="L67" s="681"/>
      <c r="M67" s="681"/>
      <c r="N67" s="690"/>
    </row>
    <row r="68" spans="1:14">
      <c r="A68" s="736">
        <v>9.01</v>
      </c>
      <c r="B68" s="737" t="s">
        <v>464</v>
      </c>
      <c r="C68" s="738">
        <v>1752.8</v>
      </c>
      <c r="D68" s="739" t="s">
        <v>222</v>
      </c>
      <c r="E68" s="740">
        <v>300.42</v>
      </c>
      <c r="F68" s="741">
        <v>526576.18000000005</v>
      </c>
      <c r="G68" s="677"/>
      <c r="H68" s="677"/>
      <c r="I68" s="688"/>
      <c r="J68" s="698"/>
      <c r="K68" s="705"/>
      <c r="L68" s="681"/>
      <c r="M68" s="681"/>
      <c r="N68" s="690"/>
    </row>
    <row r="69" spans="1:14">
      <c r="A69" s="734"/>
      <c r="B69" s="742" t="s">
        <v>39</v>
      </c>
      <c r="C69" s="742"/>
      <c r="D69" s="743"/>
      <c r="E69" s="742"/>
      <c r="F69" s="744">
        <f>F68</f>
        <v>526576.18000000005</v>
      </c>
      <c r="G69" s="677"/>
      <c r="H69" s="677"/>
      <c r="I69" s="688"/>
      <c r="J69" s="698"/>
      <c r="K69" s="705"/>
      <c r="L69" s="681"/>
      <c r="M69" s="681"/>
      <c r="N69" s="690"/>
    </row>
    <row r="70" spans="1:14">
      <c r="A70" s="731">
        <v>10</v>
      </c>
      <c r="B70" s="732" t="s">
        <v>465</v>
      </c>
      <c r="C70" s="733"/>
      <c r="D70" s="734"/>
      <c r="E70" s="733"/>
      <c r="F70" s="735"/>
      <c r="G70" s="677"/>
      <c r="H70" s="677"/>
      <c r="I70" s="688"/>
      <c r="J70" s="698"/>
      <c r="K70" s="705"/>
      <c r="L70" s="681"/>
      <c r="M70" s="681"/>
      <c r="N70" s="690"/>
    </row>
    <row r="71" spans="1:14">
      <c r="A71" s="736">
        <v>10.01</v>
      </c>
      <c r="B71" s="737" t="s">
        <v>466</v>
      </c>
      <c r="C71" s="733"/>
      <c r="D71" s="734"/>
      <c r="E71" s="733"/>
      <c r="F71" s="735"/>
      <c r="G71" s="677"/>
      <c r="H71" s="677"/>
      <c r="I71" s="688"/>
      <c r="J71" s="698"/>
      <c r="K71" s="705"/>
      <c r="L71" s="681"/>
      <c r="M71" s="681"/>
      <c r="N71" s="690"/>
    </row>
    <row r="72" spans="1:14">
      <c r="A72" s="736">
        <v>10.02</v>
      </c>
      <c r="B72" s="737" t="s">
        <v>467</v>
      </c>
      <c r="C72" s="736">
        <v>5.4</v>
      </c>
      <c r="D72" s="739" t="s">
        <v>222</v>
      </c>
      <c r="E72" s="741">
        <v>6543.33</v>
      </c>
      <c r="F72" s="741">
        <v>35334</v>
      </c>
      <c r="G72" s="677"/>
      <c r="H72" s="677"/>
      <c r="I72" s="688"/>
      <c r="J72" s="698"/>
      <c r="K72" s="705"/>
      <c r="L72" s="681"/>
      <c r="M72" s="681"/>
      <c r="N72" s="690"/>
    </row>
    <row r="73" spans="1:14">
      <c r="A73" s="736">
        <v>10.029999999999999</v>
      </c>
      <c r="B73" s="737" t="s">
        <v>468</v>
      </c>
      <c r="C73" s="736">
        <v>6</v>
      </c>
      <c r="D73" s="739" t="s">
        <v>52</v>
      </c>
      <c r="E73" s="741">
        <v>10994.43</v>
      </c>
      <c r="F73" s="741">
        <v>65966.58</v>
      </c>
      <c r="G73" s="677">
        <v>3</v>
      </c>
      <c r="H73" s="677"/>
      <c r="I73" s="688">
        <f t="shared" ref="I73:I84" si="41">G73+H73</f>
        <v>3</v>
      </c>
      <c r="J73" s="689">
        <f t="shared" ref="J73:J84" si="42">I73/C73</f>
        <v>0.5</v>
      </c>
      <c r="K73" s="705">
        <v>32983.29</v>
      </c>
      <c r="L73" s="681">
        <f t="shared" ref="L73:L84" si="43">H73*E73</f>
        <v>0</v>
      </c>
      <c r="M73" s="681">
        <f t="shared" ref="M73:M84" si="44">K73+L73</f>
        <v>32983.29</v>
      </c>
      <c r="N73" s="690"/>
    </row>
    <row r="74" spans="1:14">
      <c r="A74" s="736">
        <v>10.039999999999999</v>
      </c>
      <c r="B74" s="737" t="s">
        <v>469</v>
      </c>
      <c r="C74" s="736">
        <v>8</v>
      </c>
      <c r="D74" s="739" t="s">
        <v>52</v>
      </c>
      <c r="E74" s="741">
        <v>12551.71</v>
      </c>
      <c r="F74" s="741">
        <v>100413.68</v>
      </c>
      <c r="G74" s="677">
        <v>4</v>
      </c>
      <c r="H74" s="677"/>
      <c r="I74" s="688">
        <f t="shared" si="41"/>
        <v>4</v>
      </c>
      <c r="J74" s="689">
        <f t="shared" si="42"/>
        <v>0.5</v>
      </c>
      <c r="K74" s="705">
        <v>50206.84</v>
      </c>
      <c r="L74" s="681">
        <f t="shared" si="43"/>
        <v>0</v>
      </c>
      <c r="M74" s="681">
        <f t="shared" si="44"/>
        <v>50206.84</v>
      </c>
      <c r="N74" s="690"/>
    </row>
    <row r="75" spans="1:14">
      <c r="A75" s="736">
        <v>10.050000000000001</v>
      </c>
      <c r="B75" s="737" t="s">
        <v>470</v>
      </c>
      <c r="C75" s="736">
        <v>2</v>
      </c>
      <c r="D75" s="739" t="s">
        <v>52</v>
      </c>
      <c r="E75" s="741">
        <v>2783.77</v>
      </c>
      <c r="F75" s="741">
        <v>5567.54</v>
      </c>
      <c r="G75" s="677">
        <v>2</v>
      </c>
      <c r="H75" s="677"/>
      <c r="I75" s="688">
        <f t="shared" si="41"/>
        <v>2</v>
      </c>
      <c r="J75" s="689">
        <f t="shared" si="42"/>
        <v>1</v>
      </c>
      <c r="K75" s="705">
        <v>5567.54</v>
      </c>
      <c r="L75" s="681">
        <f t="shared" si="43"/>
        <v>0</v>
      </c>
      <c r="M75" s="681">
        <f t="shared" si="44"/>
        <v>5567.54</v>
      </c>
      <c r="N75" s="690"/>
    </row>
    <row r="76" spans="1:14">
      <c r="A76" s="736">
        <v>10.06</v>
      </c>
      <c r="B76" s="737" t="s">
        <v>471</v>
      </c>
      <c r="C76" s="736">
        <v>2</v>
      </c>
      <c r="D76" s="739" t="s">
        <v>52</v>
      </c>
      <c r="E76" s="741">
        <v>10709.95</v>
      </c>
      <c r="F76" s="741">
        <v>21419.9</v>
      </c>
      <c r="G76" s="677"/>
      <c r="H76" s="677">
        <f>+C76/2</f>
        <v>1</v>
      </c>
      <c r="I76" s="688">
        <f t="shared" si="41"/>
        <v>1</v>
      </c>
      <c r="J76" s="689">
        <f t="shared" si="42"/>
        <v>0.5</v>
      </c>
      <c r="K76" s="705">
        <v>5568.54</v>
      </c>
      <c r="L76" s="681">
        <f t="shared" si="43"/>
        <v>10709.95</v>
      </c>
      <c r="M76" s="681">
        <f t="shared" si="44"/>
        <v>16278.490000000002</v>
      </c>
      <c r="N76" s="690"/>
    </row>
    <row r="77" spans="1:14">
      <c r="A77" s="745">
        <v>10.07</v>
      </c>
      <c r="B77" s="737" t="s">
        <v>472</v>
      </c>
      <c r="C77" s="736">
        <v>1</v>
      </c>
      <c r="D77" s="739" t="s">
        <v>52</v>
      </c>
      <c r="E77" s="741">
        <v>6881.76</v>
      </c>
      <c r="F77" s="741">
        <v>6881.76</v>
      </c>
      <c r="G77" s="677"/>
      <c r="H77" s="677">
        <f t="shared" ref="H77:H84" si="45">+C77/2</f>
        <v>0.5</v>
      </c>
      <c r="I77" s="688">
        <f t="shared" si="41"/>
        <v>0.5</v>
      </c>
      <c r="J77" s="689">
        <f t="shared" si="42"/>
        <v>0.5</v>
      </c>
      <c r="K77" s="705">
        <v>5569.54</v>
      </c>
      <c r="L77" s="681">
        <f t="shared" si="43"/>
        <v>3440.88</v>
      </c>
      <c r="M77" s="681">
        <f t="shared" si="44"/>
        <v>9010.42</v>
      </c>
      <c r="N77" s="690"/>
    </row>
    <row r="78" spans="1:14">
      <c r="A78" s="736">
        <v>10.08</v>
      </c>
      <c r="B78" s="737" t="s">
        <v>473</v>
      </c>
      <c r="C78" s="736">
        <v>1</v>
      </c>
      <c r="D78" s="739" t="s">
        <v>55</v>
      </c>
      <c r="E78" s="741">
        <v>135000</v>
      </c>
      <c r="F78" s="741">
        <v>135000</v>
      </c>
      <c r="G78" s="677"/>
      <c r="H78" s="677">
        <f t="shared" si="45"/>
        <v>0.5</v>
      </c>
      <c r="I78" s="688">
        <f t="shared" si="41"/>
        <v>0.5</v>
      </c>
      <c r="J78" s="689">
        <f t="shared" si="42"/>
        <v>0.5</v>
      </c>
      <c r="K78" s="705">
        <v>5570.54</v>
      </c>
      <c r="L78" s="681">
        <f t="shared" si="43"/>
        <v>67500</v>
      </c>
      <c r="M78" s="681">
        <f t="shared" si="44"/>
        <v>73070.539999999994</v>
      </c>
      <c r="N78" s="690"/>
    </row>
    <row r="79" spans="1:14">
      <c r="A79" s="736">
        <v>10.09</v>
      </c>
      <c r="B79" s="737" t="s">
        <v>474</v>
      </c>
      <c r="C79" s="733"/>
      <c r="D79" s="734"/>
      <c r="E79" s="733"/>
      <c r="F79" s="735"/>
      <c r="G79" s="677"/>
      <c r="H79" s="677"/>
      <c r="I79" s="688"/>
      <c r="J79" s="689"/>
      <c r="K79" s="705"/>
      <c r="L79" s="681"/>
      <c r="M79" s="681"/>
      <c r="N79" s="690"/>
    </row>
    <row r="80" spans="1:14">
      <c r="A80" s="736">
        <v>10.1</v>
      </c>
      <c r="B80" s="737" t="s">
        <v>475</v>
      </c>
      <c r="C80" s="736">
        <v>10</v>
      </c>
      <c r="D80" s="739" t="s">
        <v>330</v>
      </c>
      <c r="E80" s="741">
        <v>2955</v>
      </c>
      <c r="F80" s="741">
        <v>29550</v>
      </c>
      <c r="G80" s="677"/>
      <c r="H80" s="677">
        <f t="shared" si="45"/>
        <v>5</v>
      </c>
      <c r="I80" s="688">
        <f t="shared" si="41"/>
        <v>5</v>
      </c>
      <c r="J80" s="689">
        <f t="shared" si="42"/>
        <v>0.5</v>
      </c>
      <c r="K80" s="705">
        <v>5572.54</v>
      </c>
      <c r="L80" s="681">
        <f t="shared" si="43"/>
        <v>14775</v>
      </c>
      <c r="M80" s="681">
        <f t="shared" si="44"/>
        <v>20347.54</v>
      </c>
      <c r="N80" s="690"/>
    </row>
    <row r="81" spans="1:14">
      <c r="A81" s="736">
        <v>10.11</v>
      </c>
      <c r="B81" s="737" t="s">
        <v>467</v>
      </c>
      <c r="C81" s="736">
        <v>1.2</v>
      </c>
      <c r="D81" s="739" t="s">
        <v>222</v>
      </c>
      <c r="E81" s="741">
        <v>6790</v>
      </c>
      <c r="F81" s="741">
        <v>8148</v>
      </c>
      <c r="G81" s="677"/>
      <c r="H81" s="677">
        <f t="shared" si="45"/>
        <v>0.6</v>
      </c>
      <c r="I81" s="688">
        <f t="shared" si="41"/>
        <v>0.6</v>
      </c>
      <c r="J81" s="689">
        <f t="shared" si="42"/>
        <v>0.5</v>
      </c>
      <c r="K81" s="705">
        <v>5573.54</v>
      </c>
      <c r="L81" s="681">
        <f t="shared" si="43"/>
        <v>4074</v>
      </c>
      <c r="M81" s="681">
        <f t="shared" si="44"/>
        <v>9647.5400000000009</v>
      </c>
      <c r="N81" s="690"/>
    </row>
    <row r="82" spans="1:14">
      <c r="A82" s="736">
        <v>10.119999999999999</v>
      </c>
      <c r="B82" s="737" t="s">
        <v>476</v>
      </c>
      <c r="C82" s="736">
        <v>1</v>
      </c>
      <c r="D82" s="739" t="s">
        <v>52</v>
      </c>
      <c r="E82" s="741">
        <v>14106.81</v>
      </c>
      <c r="F82" s="741">
        <v>14106.81</v>
      </c>
      <c r="G82" s="677"/>
      <c r="H82" s="677">
        <f t="shared" si="45"/>
        <v>0.5</v>
      </c>
      <c r="I82" s="688">
        <f t="shared" si="41"/>
        <v>0.5</v>
      </c>
      <c r="J82" s="689">
        <f t="shared" si="42"/>
        <v>0.5</v>
      </c>
      <c r="K82" s="705">
        <v>5574.54</v>
      </c>
      <c r="L82" s="681">
        <f t="shared" si="43"/>
        <v>7053.4049999999997</v>
      </c>
      <c r="M82" s="681">
        <f t="shared" si="44"/>
        <v>12627.945</v>
      </c>
      <c r="N82" s="690"/>
    </row>
    <row r="83" spans="1:14">
      <c r="A83" s="736">
        <v>10.130000000000001</v>
      </c>
      <c r="B83" s="737" t="s">
        <v>472</v>
      </c>
      <c r="C83" s="736">
        <v>1</v>
      </c>
      <c r="D83" s="739" t="s">
        <v>52</v>
      </c>
      <c r="E83" s="741">
        <v>6881.76</v>
      </c>
      <c r="F83" s="741">
        <v>6881.76</v>
      </c>
      <c r="G83" s="677"/>
      <c r="H83" s="677">
        <f t="shared" si="45"/>
        <v>0.5</v>
      </c>
      <c r="I83" s="688">
        <f t="shared" si="41"/>
        <v>0.5</v>
      </c>
      <c r="J83" s="689">
        <f t="shared" si="42"/>
        <v>0.5</v>
      </c>
      <c r="K83" s="705">
        <v>5575.54</v>
      </c>
      <c r="L83" s="681">
        <f t="shared" si="43"/>
        <v>3440.88</v>
      </c>
      <c r="M83" s="681">
        <f t="shared" si="44"/>
        <v>9016.42</v>
      </c>
      <c r="N83" s="690"/>
    </row>
    <row r="84" spans="1:14">
      <c r="A84" s="736">
        <v>10.14</v>
      </c>
      <c r="B84" s="737" t="s">
        <v>477</v>
      </c>
      <c r="C84" s="736">
        <v>1</v>
      </c>
      <c r="D84" s="739" t="s">
        <v>52</v>
      </c>
      <c r="E84" s="741">
        <v>10948.28</v>
      </c>
      <c r="F84" s="741">
        <v>10948.28</v>
      </c>
      <c r="G84" s="677"/>
      <c r="H84" s="677">
        <f t="shared" si="45"/>
        <v>0.5</v>
      </c>
      <c r="I84" s="688">
        <f t="shared" si="41"/>
        <v>0.5</v>
      </c>
      <c r="J84" s="689">
        <f t="shared" si="42"/>
        <v>0.5</v>
      </c>
      <c r="K84" s="705">
        <v>5576.54</v>
      </c>
      <c r="L84" s="681">
        <f t="shared" si="43"/>
        <v>5474.14</v>
      </c>
      <c r="M84" s="681">
        <f t="shared" si="44"/>
        <v>11050.68</v>
      </c>
      <c r="N84" s="690"/>
    </row>
    <row r="85" spans="1:14">
      <c r="A85" s="734"/>
      <c r="B85" s="742" t="s">
        <v>39</v>
      </c>
      <c r="C85" s="742"/>
      <c r="D85" s="743"/>
      <c r="E85" s="742"/>
      <c r="F85" s="744">
        <f>SUM(F72:F84)</f>
        <v>440218.31000000006</v>
      </c>
      <c r="G85" s="677"/>
      <c r="H85" s="677"/>
      <c r="I85" s="688"/>
      <c r="J85" s="698"/>
      <c r="K85" s="703">
        <f>+SUBTOTAL(9,K73:K84)</f>
        <v>133338.98999999996</v>
      </c>
      <c r="L85" s="703">
        <f>+SUBTOTAL(9,L73:L84)</f>
        <v>116468.255</v>
      </c>
      <c r="M85" s="703">
        <f>+SUBTOTAL(9,M73:M84)</f>
        <v>249807.24500000002</v>
      </c>
      <c r="N85" s="690"/>
    </row>
    <row r="86" spans="1:14">
      <c r="A86" s="731">
        <v>11</v>
      </c>
      <c r="B86" s="732" t="s">
        <v>478</v>
      </c>
      <c r="C86" s="733"/>
      <c r="D86" s="734"/>
      <c r="E86" s="733"/>
      <c r="F86" s="735"/>
      <c r="G86" s="677"/>
      <c r="H86" s="677"/>
      <c r="I86" s="688"/>
      <c r="J86" s="698"/>
      <c r="K86" s="746"/>
      <c r="L86" s="703"/>
      <c r="M86" s="703"/>
      <c r="N86" s="690"/>
    </row>
    <row r="87" spans="1:14">
      <c r="A87" s="736">
        <v>11.01</v>
      </c>
      <c r="B87" s="737" t="s">
        <v>479</v>
      </c>
      <c r="C87" s="736">
        <v>38</v>
      </c>
      <c r="D87" s="739" t="s">
        <v>52</v>
      </c>
      <c r="E87" s="741">
        <v>1473.68</v>
      </c>
      <c r="F87" s="741">
        <v>55999.839999999997</v>
      </c>
      <c r="G87" s="677">
        <v>19</v>
      </c>
      <c r="H87" s="677"/>
      <c r="I87" s="688">
        <f t="shared" ref="I87:I95" si="46">G87+H87</f>
        <v>19</v>
      </c>
      <c r="J87" s="689">
        <f t="shared" ref="J87:J95" si="47">I87/C87</f>
        <v>0.5</v>
      </c>
      <c r="K87" s="747">
        <v>27999.920000000002</v>
      </c>
      <c r="L87" s="681">
        <f t="shared" ref="L87:L95" si="48">H87*E87</f>
        <v>0</v>
      </c>
      <c r="M87" s="681">
        <f t="shared" ref="M87:M95" si="49">K87+L87</f>
        <v>27999.920000000002</v>
      </c>
      <c r="N87" s="690"/>
    </row>
    <row r="88" spans="1:14">
      <c r="A88" s="736">
        <v>11.02</v>
      </c>
      <c r="B88" s="737" t="s">
        <v>480</v>
      </c>
      <c r="C88" s="736">
        <v>12</v>
      </c>
      <c r="D88" s="739" t="s">
        <v>52</v>
      </c>
      <c r="E88" s="741">
        <v>1586.98</v>
      </c>
      <c r="F88" s="741">
        <v>19043.71</v>
      </c>
      <c r="G88" s="677">
        <v>6</v>
      </c>
      <c r="H88" s="677"/>
      <c r="I88" s="688">
        <f t="shared" si="46"/>
        <v>6</v>
      </c>
      <c r="J88" s="689">
        <f t="shared" si="47"/>
        <v>0.5</v>
      </c>
      <c r="K88" s="747">
        <v>9521.880000000001</v>
      </c>
      <c r="L88" s="681">
        <f t="shared" si="48"/>
        <v>0</v>
      </c>
      <c r="M88" s="681">
        <f t="shared" si="49"/>
        <v>9521.880000000001</v>
      </c>
      <c r="N88" s="690"/>
    </row>
    <row r="89" spans="1:14">
      <c r="A89" s="736">
        <v>11.03</v>
      </c>
      <c r="B89" s="737" t="s">
        <v>481</v>
      </c>
      <c r="C89" s="736">
        <v>2</v>
      </c>
      <c r="D89" s="739" t="s">
        <v>52</v>
      </c>
      <c r="E89" s="741">
        <v>2082.37</v>
      </c>
      <c r="F89" s="741">
        <v>4164.74</v>
      </c>
      <c r="G89" s="677">
        <v>1</v>
      </c>
      <c r="H89" s="677"/>
      <c r="I89" s="688">
        <f t="shared" si="46"/>
        <v>1</v>
      </c>
      <c r="J89" s="689">
        <f t="shared" si="47"/>
        <v>0.5</v>
      </c>
      <c r="K89" s="747">
        <v>2082.37</v>
      </c>
      <c r="L89" s="681">
        <f t="shared" si="48"/>
        <v>0</v>
      </c>
      <c r="M89" s="681">
        <f t="shared" si="49"/>
        <v>2082.37</v>
      </c>
      <c r="N89" s="690"/>
    </row>
    <row r="90" spans="1:14">
      <c r="A90" s="736">
        <v>11.04</v>
      </c>
      <c r="B90" s="737" t="s">
        <v>482</v>
      </c>
      <c r="C90" s="736">
        <v>1</v>
      </c>
      <c r="D90" s="739" t="s">
        <v>52</v>
      </c>
      <c r="E90" s="741">
        <v>2452.84</v>
      </c>
      <c r="F90" s="741">
        <v>2452.84</v>
      </c>
      <c r="G90" s="677">
        <v>0.5</v>
      </c>
      <c r="H90" s="677"/>
      <c r="I90" s="688">
        <f t="shared" si="46"/>
        <v>0.5</v>
      </c>
      <c r="J90" s="689">
        <f t="shared" si="47"/>
        <v>0.5</v>
      </c>
      <c r="K90" s="747">
        <v>1226.42</v>
      </c>
      <c r="L90" s="681">
        <f t="shared" si="48"/>
        <v>0</v>
      </c>
      <c r="M90" s="681">
        <f t="shared" si="49"/>
        <v>1226.42</v>
      </c>
      <c r="N90" s="690"/>
    </row>
    <row r="91" spans="1:14">
      <c r="A91" s="736">
        <v>11.05</v>
      </c>
      <c r="B91" s="737" t="s">
        <v>483</v>
      </c>
      <c r="C91" s="736">
        <v>2</v>
      </c>
      <c r="D91" s="739" t="s">
        <v>52</v>
      </c>
      <c r="E91" s="741">
        <v>1944.31</v>
      </c>
      <c r="F91" s="741">
        <v>3888.62</v>
      </c>
      <c r="G91" s="677">
        <v>1</v>
      </c>
      <c r="H91" s="677"/>
      <c r="I91" s="688">
        <f t="shared" si="46"/>
        <v>1</v>
      </c>
      <c r="J91" s="689">
        <f t="shared" si="47"/>
        <v>0.5</v>
      </c>
      <c r="K91" s="747">
        <v>1944.31</v>
      </c>
      <c r="L91" s="681">
        <f t="shared" si="48"/>
        <v>0</v>
      </c>
      <c r="M91" s="681">
        <f t="shared" si="49"/>
        <v>1944.31</v>
      </c>
      <c r="N91" s="690"/>
    </row>
    <row r="92" spans="1:14">
      <c r="A92" s="736">
        <v>11.06</v>
      </c>
      <c r="B92" s="737" t="s">
        <v>484</v>
      </c>
      <c r="C92" s="736">
        <v>50</v>
      </c>
      <c r="D92" s="739" t="s">
        <v>52</v>
      </c>
      <c r="E92" s="741">
        <v>1859.58</v>
      </c>
      <c r="F92" s="741">
        <v>92979</v>
      </c>
      <c r="G92" s="677">
        <v>25</v>
      </c>
      <c r="H92" s="677"/>
      <c r="I92" s="688">
        <f t="shared" si="46"/>
        <v>25</v>
      </c>
      <c r="J92" s="689">
        <f t="shared" si="47"/>
        <v>0.5</v>
      </c>
      <c r="K92" s="747">
        <v>46489.5</v>
      </c>
      <c r="L92" s="681">
        <f t="shared" si="48"/>
        <v>0</v>
      </c>
      <c r="M92" s="681">
        <f t="shared" si="49"/>
        <v>46489.5</v>
      </c>
      <c r="N92" s="690"/>
    </row>
    <row r="93" spans="1:14">
      <c r="A93" s="736">
        <v>11.07</v>
      </c>
      <c r="B93" s="737" t="s">
        <v>485</v>
      </c>
      <c r="C93" s="736">
        <v>14</v>
      </c>
      <c r="D93" s="739" t="s">
        <v>52</v>
      </c>
      <c r="E93" s="741">
        <v>3945.79</v>
      </c>
      <c r="F93" s="741">
        <v>55241.06</v>
      </c>
      <c r="G93" s="677">
        <v>7</v>
      </c>
      <c r="H93" s="677"/>
      <c r="I93" s="688">
        <f t="shared" si="46"/>
        <v>7</v>
      </c>
      <c r="J93" s="689">
        <f t="shared" si="47"/>
        <v>0.5</v>
      </c>
      <c r="K93" s="681">
        <v>27620.53</v>
      </c>
      <c r="L93" s="681">
        <f t="shared" si="48"/>
        <v>0</v>
      </c>
      <c r="M93" s="681">
        <f t="shared" si="49"/>
        <v>27620.53</v>
      </c>
      <c r="N93" s="690"/>
    </row>
    <row r="94" spans="1:14">
      <c r="A94" s="748">
        <v>11.08</v>
      </c>
      <c r="B94" s="749" t="s">
        <v>486</v>
      </c>
      <c r="C94" s="748">
        <v>24</v>
      </c>
      <c r="D94" s="750" t="s">
        <v>52</v>
      </c>
      <c r="E94" s="751">
        <v>1368.29</v>
      </c>
      <c r="F94" s="751">
        <v>32838.959999999999</v>
      </c>
      <c r="G94" s="677">
        <v>12</v>
      </c>
      <c r="H94" s="677"/>
      <c r="I94" s="688">
        <f t="shared" si="46"/>
        <v>12</v>
      </c>
      <c r="J94" s="689">
        <f t="shared" si="47"/>
        <v>0.5</v>
      </c>
      <c r="K94" s="681">
        <v>16419.48</v>
      </c>
      <c r="L94" s="681">
        <f t="shared" si="48"/>
        <v>0</v>
      </c>
      <c r="M94" s="681">
        <f t="shared" si="49"/>
        <v>16419.48</v>
      </c>
      <c r="N94" s="690"/>
    </row>
    <row r="95" spans="1:14">
      <c r="A95" s="752">
        <v>11.09</v>
      </c>
      <c r="B95" s="753" t="s">
        <v>487</v>
      </c>
      <c r="C95" s="752">
        <v>1</v>
      </c>
      <c r="D95" s="754" t="s">
        <v>52</v>
      </c>
      <c r="E95" s="755">
        <v>16939.810000000001</v>
      </c>
      <c r="F95" s="755">
        <v>16939.810000000001</v>
      </c>
      <c r="G95" s="677">
        <v>0.5</v>
      </c>
      <c r="H95" s="688"/>
      <c r="I95" s="688">
        <f t="shared" si="46"/>
        <v>0.5</v>
      </c>
      <c r="J95" s="689">
        <f t="shared" si="47"/>
        <v>0.5</v>
      </c>
      <c r="K95" s="681">
        <v>8469.9050000000007</v>
      </c>
      <c r="L95" s="681">
        <f t="shared" si="48"/>
        <v>0</v>
      </c>
      <c r="M95" s="681">
        <f t="shared" si="49"/>
        <v>8469.9050000000007</v>
      </c>
      <c r="N95" s="690"/>
    </row>
    <row r="96" spans="1:14">
      <c r="A96" s="752"/>
      <c r="B96" s="756" t="s">
        <v>39</v>
      </c>
      <c r="C96" s="757"/>
      <c r="D96" s="758"/>
      <c r="E96" s="759"/>
      <c r="F96" s="760">
        <f>SUM(F87:F95)</f>
        <v>283548.58</v>
      </c>
      <c r="G96" s="677"/>
      <c r="H96" s="688"/>
      <c r="I96" s="688"/>
      <c r="J96" s="698"/>
      <c r="K96" s="703">
        <f>+SUBTOTAL(9,K87:K95)</f>
        <v>141774.315</v>
      </c>
      <c r="L96" s="703">
        <f>+SUBTOTAL(9,L87:L95)</f>
        <v>0</v>
      </c>
      <c r="M96" s="703">
        <f>+SUBTOTAL(9,M87:M95)</f>
        <v>141774.315</v>
      </c>
      <c r="N96" s="690"/>
    </row>
    <row r="97" spans="1:14">
      <c r="A97" s="761" t="s">
        <v>57</v>
      </c>
      <c r="B97" s="762" t="s">
        <v>488</v>
      </c>
      <c r="C97" s="763"/>
      <c r="D97" s="764"/>
      <c r="E97" s="763"/>
      <c r="F97" s="765"/>
      <c r="G97" s="677"/>
      <c r="H97" s="688"/>
      <c r="I97" s="688"/>
      <c r="J97" s="698"/>
      <c r="K97" s="681"/>
      <c r="L97" s="681"/>
      <c r="M97" s="681"/>
      <c r="N97" s="690"/>
    </row>
    <row r="98" spans="1:14">
      <c r="A98" s="766">
        <v>1</v>
      </c>
      <c r="B98" s="762" t="s">
        <v>426</v>
      </c>
      <c r="C98" s="763"/>
      <c r="D98" s="764"/>
      <c r="E98" s="763"/>
      <c r="F98" s="765"/>
      <c r="G98" s="677"/>
      <c r="H98" s="688"/>
      <c r="I98" s="688"/>
      <c r="J98" s="698"/>
      <c r="K98" s="681"/>
      <c r="L98" s="681"/>
      <c r="M98" s="681"/>
      <c r="N98" s="690"/>
    </row>
    <row r="99" spans="1:14">
      <c r="A99" s="767">
        <v>1.01</v>
      </c>
      <c r="B99" s="768" t="s">
        <v>429</v>
      </c>
      <c r="C99" s="767">
        <v>14.58</v>
      </c>
      <c r="D99" s="769" t="s">
        <v>45</v>
      </c>
      <c r="E99" s="770">
        <v>28921.24</v>
      </c>
      <c r="F99" s="770">
        <v>421671.67999999999</v>
      </c>
      <c r="G99" s="677">
        <v>14.58</v>
      </c>
      <c r="H99" s="688"/>
      <c r="I99" s="688">
        <f t="shared" ref="I99:I103" si="50">G99+H99</f>
        <v>14.58</v>
      </c>
      <c r="J99" s="689">
        <f t="shared" ref="J99:J103" si="51">I99/C99</f>
        <v>1</v>
      </c>
      <c r="K99" s="681">
        <v>421671.67920000001</v>
      </c>
      <c r="L99" s="681">
        <f t="shared" ref="L99:L101" si="52">H99*E99</f>
        <v>0</v>
      </c>
      <c r="M99" s="681">
        <f t="shared" ref="M99:M100" si="53">K99+L99</f>
        <v>421671.67920000001</v>
      </c>
      <c r="N99" s="690"/>
    </row>
    <row r="100" spans="1:14">
      <c r="A100" s="767">
        <v>1.02</v>
      </c>
      <c r="B100" s="768" t="s">
        <v>431</v>
      </c>
      <c r="C100" s="767">
        <v>35.380000000000003</v>
      </c>
      <c r="D100" s="769" t="s">
        <v>45</v>
      </c>
      <c r="E100" s="770">
        <v>19346.84</v>
      </c>
      <c r="F100" s="770">
        <v>684568.52</v>
      </c>
      <c r="G100" s="677">
        <v>35.380000000000003</v>
      </c>
      <c r="H100" s="688"/>
      <c r="I100" s="688">
        <f t="shared" si="50"/>
        <v>35.380000000000003</v>
      </c>
      <c r="J100" s="689">
        <f t="shared" si="51"/>
        <v>1</v>
      </c>
      <c r="K100" s="681">
        <v>684491.19920000003</v>
      </c>
      <c r="L100" s="681">
        <f t="shared" si="52"/>
        <v>0</v>
      </c>
      <c r="M100" s="681">
        <f t="shared" si="53"/>
        <v>684491.19920000003</v>
      </c>
      <c r="N100" s="690"/>
    </row>
    <row r="101" spans="1:14">
      <c r="A101" s="767">
        <v>1.03</v>
      </c>
      <c r="B101" s="768" t="s">
        <v>432</v>
      </c>
      <c r="C101" s="767">
        <v>23.5</v>
      </c>
      <c r="D101" s="769" t="s">
        <v>45</v>
      </c>
      <c r="E101" s="770">
        <v>29188.959999999999</v>
      </c>
      <c r="F101" s="770">
        <v>685940.56</v>
      </c>
      <c r="G101" s="677">
        <v>16.45</v>
      </c>
      <c r="H101" s="688">
        <f>+C101-G101</f>
        <v>7.0500000000000007</v>
      </c>
      <c r="I101" s="688">
        <f t="shared" si="50"/>
        <v>23.5</v>
      </c>
      <c r="J101" s="689">
        <f t="shared" si="51"/>
        <v>1</v>
      </c>
      <c r="K101" s="681"/>
      <c r="L101" s="681">
        <f t="shared" si="52"/>
        <v>205782.16800000001</v>
      </c>
      <c r="M101" s="681"/>
      <c r="N101" s="690"/>
    </row>
    <row r="102" spans="1:14">
      <c r="A102" s="767">
        <v>1.04</v>
      </c>
      <c r="B102" s="768" t="s">
        <v>433</v>
      </c>
      <c r="C102" s="767">
        <v>2.38</v>
      </c>
      <c r="D102" s="769" t="s">
        <v>45</v>
      </c>
      <c r="E102" s="770">
        <v>43456.03</v>
      </c>
      <c r="F102" s="770">
        <v>103425.35</v>
      </c>
      <c r="G102" s="677">
        <v>1.2</v>
      </c>
      <c r="H102" s="688">
        <f t="shared" ref="H102:H103" si="54">+C102-G102</f>
        <v>1.18</v>
      </c>
      <c r="I102" s="688">
        <f t="shared" si="50"/>
        <v>2.38</v>
      </c>
      <c r="J102" s="689">
        <f t="shared" si="51"/>
        <v>1</v>
      </c>
      <c r="K102" s="681">
        <v>52147.235999999997</v>
      </c>
      <c r="L102" s="681">
        <f>H102*E102</f>
        <v>51278.115399999995</v>
      </c>
      <c r="M102" s="681">
        <f t="shared" ref="M102:M103" si="55">K102+L102</f>
        <v>103425.35139999999</v>
      </c>
      <c r="N102" s="690"/>
    </row>
    <row r="103" spans="1:14">
      <c r="A103" s="767">
        <v>1.05</v>
      </c>
      <c r="B103" s="768" t="s">
        <v>435</v>
      </c>
      <c r="C103" s="767">
        <v>64.900000000000006</v>
      </c>
      <c r="D103" s="769" t="s">
        <v>45</v>
      </c>
      <c r="E103" s="770">
        <v>24931.97</v>
      </c>
      <c r="F103" s="770">
        <v>1618084.54</v>
      </c>
      <c r="G103" s="677">
        <v>45.43</v>
      </c>
      <c r="H103" s="688">
        <f t="shared" si="54"/>
        <v>19.470000000000006</v>
      </c>
      <c r="I103" s="688">
        <f t="shared" si="50"/>
        <v>64.900000000000006</v>
      </c>
      <c r="J103" s="689">
        <f t="shared" si="51"/>
        <v>1</v>
      </c>
      <c r="K103" s="681">
        <v>1132659.3970999999</v>
      </c>
      <c r="L103" s="681">
        <f>H103*E103</f>
        <v>485425.45590000018</v>
      </c>
      <c r="M103" s="681">
        <f t="shared" si="55"/>
        <v>1618084.8530000001</v>
      </c>
      <c r="N103" s="690"/>
    </row>
    <row r="104" spans="1:14">
      <c r="A104" s="764"/>
      <c r="B104" s="771" t="s">
        <v>39</v>
      </c>
      <c r="C104" s="771"/>
      <c r="D104" s="772"/>
      <c r="E104" s="771"/>
      <c r="F104" s="773">
        <f>SUM(F99:F103)</f>
        <v>3513690.6500000004</v>
      </c>
      <c r="G104" s="677"/>
      <c r="H104" s="688"/>
      <c r="I104" s="688"/>
      <c r="J104" s="698"/>
      <c r="K104" s="703">
        <f>+SUBTOTAL(9,K99:K103)</f>
        <v>2290969.5115</v>
      </c>
      <c r="L104" s="703">
        <f>+SUBTOTAL(9,L99:L103)</f>
        <v>742485.73930000025</v>
      </c>
      <c r="M104" s="703">
        <f t="shared" ref="M104" si="56">+SUBTOTAL(9,M99:M103)</f>
        <v>2827673.0828</v>
      </c>
      <c r="N104" s="690"/>
    </row>
    <row r="105" spans="1:14">
      <c r="A105" s="766">
        <v>2</v>
      </c>
      <c r="B105" s="762" t="s">
        <v>436</v>
      </c>
      <c r="C105" s="763"/>
      <c r="D105" s="764"/>
      <c r="E105" s="763"/>
      <c r="F105" s="765"/>
      <c r="G105" s="677"/>
      <c r="H105" s="688"/>
      <c r="I105" s="688"/>
      <c r="J105" s="698"/>
      <c r="K105" s="681"/>
      <c r="L105" s="681"/>
      <c r="M105" s="681"/>
      <c r="N105" s="690"/>
    </row>
    <row r="106" spans="1:14">
      <c r="A106" s="767">
        <v>2.0099999999999998</v>
      </c>
      <c r="B106" s="768" t="s">
        <v>437</v>
      </c>
      <c r="C106" s="767">
        <v>122.79</v>
      </c>
      <c r="D106" s="769" t="s">
        <v>222</v>
      </c>
      <c r="E106" s="770">
        <v>1479.5</v>
      </c>
      <c r="F106" s="770">
        <v>181667.81</v>
      </c>
      <c r="G106" s="677">
        <v>98.232000000000014</v>
      </c>
      <c r="H106" s="688">
        <f>+C106-G106</f>
        <v>24.557999999999993</v>
      </c>
      <c r="I106" s="688">
        <f t="shared" ref="I106" si="57">G106+H106</f>
        <v>122.79</v>
      </c>
      <c r="J106" s="689">
        <f t="shared" ref="J106" si="58">I106/C106</f>
        <v>1</v>
      </c>
      <c r="K106" s="681">
        <v>145334.24400000001</v>
      </c>
      <c r="L106" s="681">
        <f>H106*E106</f>
        <v>36333.560999999987</v>
      </c>
      <c r="M106" s="681">
        <f t="shared" ref="M106" si="59">K106+L106</f>
        <v>181667.80499999999</v>
      </c>
      <c r="N106" s="690"/>
    </row>
    <row r="107" spans="1:14">
      <c r="A107" s="764"/>
      <c r="B107" s="771" t="s">
        <v>39</v>
      </c>
      <c r="C107" s="771"/>
      <c r="D107" s="772"/>
      <c r="E107" s="771"/>
      <c r="F107" s="773">
        <f>F106</f>
        <v>181667.81</v>
      </c>
      <c r="G107" s="677"/>
      <c r="H107" s="688"/>
      <c r="I107" s="688"/>
      <c r="J107" s="698"/>
      <c r="K107" s="703">
        <f>+SUBTOTAL(9,K106)</f>
        <v>145334.24400000001</v>
      </c>
      <c r="L107" s="703">
        <f>+SUBTOTAL(9,L106)</f>
        <v>36333.560999999987</v>
      </c>
      <c r="M107" s="703">
        <f>+SUBTOTAL(9,M106)</f>
        <v>181667.80499999999</v>
      </c>
      <c r="N107" s="690"/>
    </row>
    <row r="108" spans="1:14">
      <c r="A108" s="766">
        <v>3</v>
      </c>
      <c r="B108" s="762" t="s">
        <v>438</v>
      </c>
      <c r="C108" s="763"/>
      <c r="D108" s="764"/>
      <c r="E108" s="763"/>
      <c r="F108" s="765"/>
      <c r="G108" s="677"/>
      <c r="H108" s="688"/>
      <c r="I108" s="688"/>
      <c r="J108" s="698"/>
      <c r="K108" s="681"/>
      <c r="L108" s="681"/>
      <c r="M108" s="681"/>
      <c r="N108" s="690"/>
    </row>
    <row r="109" spans="1:14">
      <c r="A109" s="767">
        <v>3.01</v>
      </c>
      <c r="B109" s="768" t="s">
        <v>439</v>
      </c>
      <c r="C109" s="774">
        <v>1316.75</v>
      </c>
      <c r="D109" s="769" t="s">
        <v>222</v>
      </c>
      <c r="E109" s="775">
        <v>64.19</v>
      </c>
      <c r="F109" s="770">
        <v>84522.18</v>
      </c>
      <c r="G109" s="677">
        <v>921.72499999999991</v>
      </c>
      <c r="H109" s="688">
        <f>+C109-G109</f>
        <v>395.02500000000009</v>
      </c>
      <c r="I109" s="688">
        <f t="shared" ref="I109:I111" si="60">G109+H109</f>
        <v>1316.75</v>
      </c>
      <c r="J109" s="689">
        <f t="shared" ref="J109:J111" si="61">I109/C109</f>
        <v>1</v>
      </c>
      <c r="K109" s="681">
        <v>59165.527749999994</v>
      </c>
      <c r="L109" s="681">
        <f>H109*E109</f>
        <v>25356.654750000005</v>
      </c>
      <c r="M109" s="681">
        <f t="shared" ref="M109:M111" si="62">K109+L109</f>
        <v>84522.182499999995</v>
      </c>
      <c r="N109" s="690"/>
    </row>
    <row r="110" spans="1:14" ht="25.5">
      <c r="A110" s="767">
        <v>3.02</v>
      </c>
      <c r="B110" s="768" t="s">
        <v>440</v>
      </c>
      <c r="C110" s="767">
        <v>245.58</v>
      </c>
      <c r="D110" s="769" t="s">
        <v>222</v>
      </c>
      <c r="E110" s="775">
        <v>461.37</v>
      </c>
      <c r="F110" s="770">
        <v>113303.24</v>
      </c>
      <c r="G110" s="677">
        <v>171.90600000000001</v>
      </c>
      <c r="H110" s="688">
        <f t="shared" ref="H110:H111" si="63">+C110-G110</f>
        <v>73.674000000000007</v>
      </c>
      <c r="I110" s="688">
        <f t="shared" si="60"/>
        <v>245.58</v>
      </c>
      <c r="J110" s="689">
        <f t="shared" si="61"/>
        <v>1</v>
      </c>
      <c r="K110" s="681">
        <v>79312.27122000001</v>
      </c>
      <c r="L110" s="681">
        <f t="shared" ref="L110:L111" si="64">H110*E110</f>
        <v>33990.973380000003</v>
      </c>
      <c r="M110" s="681">
        <f t="shared" si="62"/>
        <v>113303.24460000001</v>
      </c>
      <c r="N110" s="690"/>
    </row>
    <row r="111" spans="1:14">
      <c r="A111" s="767">
        <v>3.03</v>
      </c>
      <c r="B111" s="768" t="s">
        <v>441</v>
      </c>
      <c r="C111" s="767">
        <v>27</v>
      </c>
      <c r="D111" s="769" t="s">
        <v>38</v>
      </c>
      <c r="E111" s="775">
        <v>137.16999999999999</v>
      </c>
      <c r="F111" s="770">
        <v>3703.59</v>
      </c>
      <c r="G111" s="677">
        <v>18.899999999999999</v>
      </c>
      <c r="H111" s="688">
        <f t="shared" si="63"/>
        <v>8.1000000000000014</v>
      </c>
      <c r="I111" s="688">
        <f t="shared" si="60"/>
        <v>27</v>
      </c>
      <c r="J111" s="689">
        <f t="shared" si="61"/>
        <v>1</v>
      </c>
      <c r="K111" s="681">
        <v>2592.5129999999995</v>
      </c>
      <c r="L111" s="681">
        <f t="shared" si="64"/>
        <v>1111.077</v>
      </c>
      <c r="M111" s="681">
        <f t="shared" si="62"/>
        <v>3703.5899999999992</v>
      </c>
      <c r="N111" s="690"/>
    </row>
    <row r="112" spans="1:14">
      <c r="A112" s="764"/>
      <c r="B112" s="771" t="s">
        <v>39</v>
      </c>
      <c r="C112" s="771"/>
      <c r="D112" s="772"/>
      <c r="E112" s="771"/>
      <c r="F112" s="773">
        <f>SUM(F109:F111)</f>
        <v>201529.00999999998</v>
      </c>
      <c r="G112" s="677"/>
      <c r="H112" s="688"/>
      <c r="I112" s="688"/>
      <c r="J112" s="698"/>
      <c r="K112" s="703">
        <f>+SUBTOTAL(9,K109:K111)</f>
        <v>141070.31197000001</v>
      </c>
      <c r="L112" s="703">
        <f>+SUBTOTAL(9,L109:L111)</f>
        <v>60458.705130000009</v>
      </c>
      <c r="M112" s="703">
        <f>+SUBTOTAL(9,M109:M111)</f>
        <v>201529.0171</v>
      </c>
      <c r="N112" s="690"/>
    </row>
    <row r="113" spans="1:14">
      <c r="A113" s="766">
        <v>4</v>
      </c>
      <c r="B113" s="762" t="s">
        <v>442</v>
      </c>
      <c r="C113" s="763"/>
      <c r="D113" s="764"/>
      <c r="E113" s="763"/>
      <c r="F113" s="765"/>
      <c r="G113" s="677"/>
      <c r="H113" s="688"/>
      <c r="I113" s="688"/>
      <c r="J113" s="698"/>
      <c r="K113" s="681"/>
      <c r="L113" s="681"/>
      <c r="M113" s="681"/>
      <c r="N113" s="690"/>
    </row>
    <row r="114" spans="1:14">
      <c r="A114" s="767">
        <v>4.01</v>
      </c>
      <c r="B114" s="768" t="s">
        <v>443</v>
      </c>
      <c r="C114" s="767">
        <v>32</v>
      </c>
      <c r="D114" s="769" t="s">
        <v>222</v>
      </c>
      <c r="E114" s="770">
        <v>1798.75</v>
      </c>
      <c r="F114" s="770">
        <v>57560</v>
      </c>
      <c r="G114" s="677"/>
      <c r="H114" s="688"/>
      <c r="I114" s="688"/>
      <c r="J114" s="689"/>
      <c r="K114" s="681"/>
      <c r="L114" s="681">
        <f t="shared" ref="L114:L119" si="65">H114*E114</f>
        <v>0</v>
      </c>
      <c r="M114" s="681">
        <f t="shared" ref="M114:M119" si="66">K114+L114</f>
        <v>0</v>
      </c>
      <c r="N114" s="690"/>
    </row>
    <row r="115" spans="1:14">
      <c r="A115" s="767">
        <v>4.0199999999999996</v>
      </c>
      <c r="B115" s="768" t="s">
        <v>444</v>
      </c>
      <c r="C115" s="767">
        <v>2.6</v>
      </c>
      <c r="D115" s="769" t="s">
        <v>222</v>
      </c>
      <c r="E115" s="770">
        <v>1748.75</v>
      </c>
      <c r="F115" s="770">
        <v>4546.75</v>
      </c>
      <c r="G115" s="677"/>
      <c r="H115" s="688"/>
      <c r="I115" s="688"/>
      <c r="J115" s="689"/>
      <c r="K115" s="681"/>
      <c r="L115" s="681">
        <f t="shared" si="65"/>
        <v>0</v>
      </c>
      <c r="M115" s="681">
        <f t="shared" si="66"/>
        <v>0</v>
      </c>
      <c r="N115" s="690"/>
    </row>
    <row r="116" spans="1:14">
      <c r="A116" s="767">
        <v>4.03</v>
      </c>
      <c r="B116" s="768" t="s">
        <v>445</v>
      </c>
      <c r="C116" s="774">
        <v>3240.05</v>
      </c>
      <c r="D116" s="769" t="s">
        <v>446</v>
      </c>
      <c r="E116" s="775">
        <v>649</v>
      </c>
      <c r="F116" s="770">
        <v>2102793.23</v>
      </c>
      <c r="G116" s="677"/>
      <c r="H116" s="688"/>
      <c r="I116" s="688"/>
      <c r="J116" s="689"/>
      <c r="K116" s="681"/>
      <c r="L116" s="681">
        <f t="shared" si="65"/>
        <v>0</v>
      </c>
      <c r="M116" s="681">
        <f t="shared" si="66"/>
        <v>0</v>
      </c>
      <c r="N116" s="690"/>
    </row>
    <row r="117" spans="1:14">
      <c r="A117" s="767">
        <v>4.04</v>
      </c>
      <c r="B117" s="768" t="s">
        <v>447</v>
      </c>
      <c r="C117" s="767">
        <v>144</v>
      </c>
      <c r="D117" s="769" t="s">
        <v>222</v>
      </c>
      <c r="E117" s="770">
        <v>6983.24</v>
      </c>
      <c r="F117" s="770">
        <v>1005586.56</v>
      </c>
      <c r="G117" s="677"/>
      <c r="H117" s="688"/>
      <c r="I117" s="688"/>
      <c r="J117" s="689"/>
      <c r="K117" s="681"/>
      <c r="L117" s="681">
        <f t="shared" si="65"/>
        <v>0</v>
      </c>
      <c r="M117" s="681">
        <f t="shared" si="66"/>
        <v>0</v>
      </c>
      <c r="N117" s="690"/>
    </row>
    <row r="118" spans="1:14">
      <c r="A118" s="767">
        <v>4.05</v>
      </c>
      <c r="B118" s="768" t="s">
        <v>448</v>
      </c>
      <c r="C118" s="767">
        <v>59.19</v>
      </c>
      <c r="D118" s="769" t="s">
        <v>222</v>
      </c>
      <c r="E118" s="770">
        <v>1282.6300000000001</v>
      </c>
      <c r="F118" s="770">
        <v>75918.720000000001</v>
      </c>
      <c r="G118" s="677"/>
      <c r="H118" s="688"/>
      <c r="I118" s="688"/>
      <c r="J118" s="689"/>
      <c r="K118" s="681"/>
      <c r="L118" s="681">
        <f t="shared" si="65"/>
        <v>0</v>
      </c>
      <c r="M118" s="681">
        <f t="shared" si="66"/>
        <v>0</v>
      </c>
      <c r="N118" s="690"/>
    </row>
    <row r="119" spans="1:14">
      <c r="A119" s="767">
        <v>4.0599999999999996</v>
      </c>
      <c r="B119" s="768" t="s">
        <v>449</v>
      </c>
      <c r="C119" s="767">
        <v>35</v>
      </c>
      <c r="D119" s="769" t="s">
        <v>222</v>
      </c>
      <c r="E119" s="770">
        <v>1441.41</v>
      </c>
      <c r="F119" s="770">
        <v>50449.36</v>
      </c>
      <c r="G119" s="677"/>
      <c r="H119" s="688"/>
      <c r="I119" s="688"/>
      <c r="J119" s="689"/>
      <c r="K119" s="681"/>
      <c r="L119" s="681">
        <f t="shared" si="65"/>
        <v>0</v>
      </c>
      <c r="M119" s="681">
        <f t="shared" si="66"/>
        <v>0</v>
      </c>
      <c r="N119" s="690"/>
    </row>
    <row r="120" spans="1:14">
      <c r="A120" s="764"/>
      <c r="B120" s="771" t="s">
        <v>39</v>
      </c>
      <c r="C120" s="771"/>
      <c r="D120" s="772"/>
      <c r="E120" s="771"/>
      <c r="F120" s="773">
        <f>SUM(F114:F119)</f>
        <v>3296854.62</v>
      </c>
      <c r="G120" s="677"/>
      <c r="H120" s="688"/>
      <c r="I120" s="688"/>
      <c r="J120" s="698"/>
      <c r="K120" s="703">
        <f>+SUBTOTAL(9,K117:K119)</f>
        <v>0</v>
      </c>
      <c r="L120" s="703">
        <f>+SUBTOTAL(9,L117:L119)</f>
        <v>0</v>
      </c>
      <c r="M120" s="703">
        <f>+SUBTOTAL(9,M117:M119)</f>
        <v>0</v>
      </c>
      <c r="N120" s="690"/>
    </row>
    <row r="121" spans="1:14">
      <c r="A121" s="766">
        <v>5</v>
      </c>
      <c r="B121" s="762" t="s">
        <v>450</v>
      </c>
      <c r="C121" s="763"/>
      <c r="D121" s="764"/>
      <c r="E121" s="763"/>
      <c r="F121" s="765"/>
      <c r="G121" s="677"/>
      <c r="H121" s="688"/>
      <c r="I121" s="688"/>
      <c r="J121" s="698"/>
      <c r="K121" s="681"/>
      <c r="L121" s="681"/>
      <c r="M121" s="681"/>
      <c r="N121" s="690"/>
    </row>
    <row r="122" spans="1:14">
      <c r="A122" s="767">
        <v>5.01</v>
      </c>
      <c r="B122" s="768" t="s">
        <v>451</v>
      </c>
      <c r="C122" s="767">
        <v>590</v>
      </c>
      <c r="D122" s="769" t="s">
        <v>222</v>
      </c>
      <c r="E122" s="770">
        <v>1800.51</v>
      </c>
      <c r="F122" s="770">
        <v>1062300.8999999999</v>
      </c>
      <c r="G122" s="677"/>
      <c r="H122" s="688"/>
      <c r="I122" s="688"/>
      <c r="J122" s="689"/>
      <c r="K122" s="681"/>
      <c r="L122" s="681">
        <f t="shared" ref="L122:L124" si="67">H122*E122</f>
        <v>0</v>
      </c>
      <c r="M122" s="681">
        <f t="shared" ref="M122:M124" si="68">K122+L122</f>
        <v>0</v>
      </c>
      <c r="N122" s="690"/>
    </row>
    <row r="123" spans="1:14">
      <c r="A123" s="767">
        <v>5.0199999999999996</v>
      </c>
      <c r="B123" s="768" t="s">
        <v>452</v>
      </c>
      <c r="C123" s="767">
        <v>265</v>
      </c>
      <c r="D123" s="769" t="s">
        <v>38</v>
      </c>
      <c r="E123" s="775">
        <v>277.51</v>
      </c>
      <c r="F123" s="770">
        <v>73540.149999999994</v>
      </c>
      <c r="G123" s="677"/>
      <c r="H123" s="688"/>
      <c r="I123" s="688"/>
      <c r="J123" s="689"/>
      <c r="K123" s="681"/>
      <c r="L123" s="681">
        <f t="shared" si="67"/>
        <v>0</v>
      </c>
      <c r="M123" s="681">
        <f t="shared" si="68"/>
        <v>0</v>
      </c>
      <c r="N123" s="690"/>
    </row>
    <row r="124" spans="1:14">
      <c r="A124" s="767">
        <v>5.03</v>
      </c>
      <c r="B124" s="768" t="s">
        <v>453</v>
      </c>
      <c r="C124" s="767">
        <v>35</v>
      </c>
      <c r="D124" s="769" t="s">
        <v>222</v>
      </c>
      <c r="E124" s="770">
        <v>1948.43</v>
      </c>
      <c r="F124" s="770">
        <v>68195.05</v>
      </c>
      <c r="G124" s="677"/>
      <c r="H124" s="688"/>
      <c r="I124" s="688"/>
      <c r="J124" s="689"/>
      <c r="K124" s="681"/>
      <c r="L124" s="681">
        <f t="shared" si="67"/>
        <v>0</v>
      </c>
      <c r="M124" s="681">
        <f t="shared" si="68"/>
        <v>0</v>
      </c>
      <c r="N124" s="690"/>
    </row>
    <row r="125" spans="1:14">
      <c r="A125" s="764"/>
      <c r="B125" s="771" t="s">
        <v>39</v>
      </c>
      <c r="C125" s="771"/>
      <c r="D125" s="772"/>
      <c r="E125" s="771"/>
      <c r="F125" s="773">
        <f>SUM(F122:F124)</f>
        <v>1204036.0999999999</v>
      </c>
      <c r="G125" s="677"/>
      <c r="H125" s="688"/>
      <c r="I125" s="688"/>
      <c r="J125" s="698"/>
      <c r="K125" s="703">
        <f>+SUBTOTAL(9,K122:K124)</f>
        <v>0</v>
      </c>
      <c r="L125" s="703">
        <f t="shared" ref="L125:M125" si="69">+SUBTOTAL(9,L122:L124)</f>
        <v>0</v>
      </c>
      <c r="M125" s="703">
        <f t="shared" si="69"/>
        <v>0</v>
      </c>
      <c r="N125" s="690"/>
    </row>
    <row r="126" spans="1:14">
      <c r="A126" s="766">
        <v>6</v>
      </c>
      <c r="B126" s="762" t="s">
        <v>454</v>
      </c>
      <c r="C126" s="763"/>
      <c r="D126" s="764"/>
      <c r="E126" s="763"/>
      <c r="F126" s="765"/>
      <c r="G126" s="677"/>
      <c r="H126" s="688"/>
      <c r="I126" s="688"/>
      <c r="J126" s="698"/>
      <c r="K126" s="681"/>
      <c r="L126" s="681"/>
      <c r="M126" s="681"/>
      <c r="N126" s="690"/>
    </row>
    <row r="127" spans="1:14" ht="25.5">
      <c r="A127" s="767">
        <v>6.01</v>
      </c>
      <c r="B127" s="768" t="s">
        <v>455</v>
      </c>
      <c r="C127" s="767">
        <v>3</v>
      </c>
      <c r="D127" s="769" t="s">
        <v>52</v>
      </c>
      <c r="E127" s="770">
        <v>40655.199999999997</v>
      </c>
      <c r="F127" s="770">
        <v>121965.6</v>
      </c>
      <c r="G127" s="677"/>
      <c r="H127" s="688"/>
      <c r="I127" s="688"/>
      <c r="J127" s="698"/>
      <c r="K127" s="681"/>
      <c r="L127" s="681"/>
      <c r="M127" s="681"/>
      <c r="N127" s="690"/>
    </row>
    <row r="128" spans="1:14">
      <c r="A128" s="767">
        <v>6.02</v>
      </c>
      <c r="B128" s="768" t="s">
        <v>456</v>
      </c>
      <c r="C128" s="767">
        <v>3</v>
      </c>
      <c r="D128" s="769" t="s">
        <v>52</v>
      </c>
      <c r="E128" s="770">
        <v>25259.82</v>
      </c>
      <c r="F128" s="770">
        <v>75779.460000000006</v>
      </c>
      <c r="G128" s="677"/>
      <c r="H128" s="688"/>
      <c r="I128" s="688"/>
      <c r="J128" s="698"/>
      <c r="K128" s="681"/>
      <c r="L128" s="681"/>
      <c r="M128" s="681"/>
      <c r="N128" s="690"/>
    </row>
    <row r="129" spans="1:14">
      <c r="A129" s="767">
        <v>6.03</v>
      </c>
      <c r="B129" s="768" t="s">
        <v>457</v>
      </c>
      <c r="C129" s="767">
        <v>1</v>
      </c>
      <c r="D129" s="769" t="s">
        <v>52</v>
      </c>
      <c r="E129" s="770">
        <v>19857.84</v>
      </c>
      <c r="F129" s="770">
        <v>19857.84</v>
      </c>
      <c r="G129" s="677"/>
      <c r="H129" s="688"/>
      <c r="I129" s="688"/>
      <c r="J129" s="698"/>
      <c r="K129" s="681"/>
      <c r="L129" s="681"/>
      <c r="M129" s="681"/>
      <c r="N129" s="690"/>
    </row>
    <row r="130" spans="1:14">
      <c r="A130" s="764"/>
      <c r="B130" s="771" t="s">
        <v>39</v>
      </c>
      <c r="C130" s="771"/>
      <c r="D130" s="772"/>
      <c r="E130" s="771"/>
      <c r="F130" s="773">
        <f>SUM(F127:F129)</f>
        <v>217602.9</v>
      </c>
      <c r="G130" s="677"/>
      <c r="H130" s="688"/>
      <c r="I130" s="688"/>
      <c r="J130" s="698"/>
      <c r="K130" s="681"/>
      <c r="L130" s="681"/>
      <c r="M130" s="681"/>
      <c r="N130" s="690"/>
    </row>
    <row r="131" spans="1:14">
      <c r="A131" s="766">
        <v>7</v>
      </c>
      <c r="B131" s="762" t="s">
        <v>458</v>
      </c>
      <c r="C131" s="763"/>
      <c r="D131" s="764"/>
      <c r="E131" s="763"/>
      <c r="F131" s="765"/>
      <c r="G131" s="677"/>
      <c r="H131" s="688"/>
      <c r="I131" s="688"/>
      <c r="J131" s="698"/>
      <c r="K131" s="681"/>
      <c r="L131" s="681"/>
      <c r="M131" s="681"/>
      <c r="N131" s="690"/>
    </row>
    <row r="132" spans="1:14" ht="25.5">
      <c r="A132" s="767">
        <v>7.01</v>
      </c>
      <c r="B132" s="768" t="s">
        <v>459</v>
      </c>
      <c r="C132" s="767">
        <v>10.34</v>
      </c>
      <c r="D132" s="769" t="s">
        <v>446</v>
      </c>
      <c r="E132" s="775">
        <v>882.05</v>
      </c>
      <c r="F132" s="770">
        <v>9120.4</v>
      </c>
      <c r="G132" s="677"/>
      <c r="H132" s="688"/>
      <c r="I132" s="688"/>
      <c r="J132" s="698"/>
      <c r="K132" s="681"/>
      <c r="L132" s="681"/>
      <c r="M132" s="681"/>
      <c r="N132" s="690"/>
    </row>
    <row r="133" spans="1:14">
      <c r="A133" s="764"/>
      <c r="B133" s="771" t="s">
        <v>39</v>
      </c>
      <c r="C133" s="771"/>
      <c r="D133" s="772"/>
      <c r="E133" s="771"/>
      <c r="F133" s="773">
        <f>F132</f>
        <v>9120.4</v>
      </c>
      <c r="G133" s="677"/>
      <c r="H133" s="688"/>
      <c r="I133" s="688"/>
      <c r="J133" s="698"/>
      <c r="K133" s="681"/>
      <c r="L133" s="681"/>
      <c r="M133" s="681"/>
      <c r="N133" s="690"/>
    </row>
    <row r="134" spans="1:14">
      <c r="A134" s="766">
        <v>8</v>
      </c>
      <c r="B134" s="762" t="s">
        <v>460</v>
      </c>
      <c r="C134" s="763"/>
      <c r="D134" s="764"/>
      <c r="E134" s="763"/>
      <c r="F134" s="765"/>
      <c r="G134" s="677"/>
      <c r="H134" s="688"/>
      <c r="I134" s="688"/>
      <c r="J134" s="698"/>
      <c r="K134" s="681"/>
      <c r="L134" s="681"/>
      <c r="M134" s="681"/>
      <c r="N134" s="690"/>
    </row>
    <row r="135" spans="1:14">
      <c r="A135" s="767">
        <v>8.01</v>
      </c>
      <c r="B135" s="768" t="s">
        <v>461</v>
      </c>
      <c r="C135" s="767">
        <v>14.96</v>
      </c>
      <c r="D135" s="769" t="s">
        <v>38</v>
      </c>
      <c r="E135" s="770">
        <v>2764.21</v>
      </c>
      <c r="F135" s="770">
        <v>41352.58</v>
      </c>
      <c r="G135" s="677"/>
      <c r="H135" s="688"/>
      <c r="I135" s="688"/>
      <c r="J135" s="698"/>
      <c r="K135" s="681"/>
      <c r="L135" s="681"/>
      <c r="M135" s="681"/>
      <c r="N135" s="690"/>
    </row>
    <row r="136" spans="1:14">
      <c r="A136" s="767">
        <v>8.02</v>
      </c>
      <c r="B136" s="768" t="s">
        <v>462</v>
      </c>
      <c r="C136" s="767">
        <v>4</v>
      </c>
      <c r="D136" s="769" t="s">
        <v>222</v>
      </c>
      <c r="E136" s="770">
        <v>1800.51</v>
      </c>
      <c r="F136" s="770">
        <v>7202.04</v>
      </c>
      <c r="G136" s="677"/>
      <c r="H136" s="688"/>
      <c r="I136" s="688"/>
      <c r="J136" s="698"/>
      <c r="K136" s="681"/>
      <c r="L136" s="681"/>
      <c r="M136" s="681"/>
      <c r="N136" s="690"/>
    </row>
    <row r="137" spans="1:14">
      <c r="A137" s="764"/>
      <c r="B137" s="771" t="s">
        <v>39</v>
      </c>
      <c r="C137" s="771"/>
      <c r="D137" s="772"/>
      <c r="E137" s="771"/>
      <c r="F137" s="773">
        <f>SUM(F135:F136)</f>
        <v>48554.62</v>
      </c>
      <c r="G137" s="677"/>
      <c r="H137" s="688"/>
      <c r="I137" s="688"/>
      <c r="J137" s="698"/>
      <c r="K137" s="681"/>
      <c r="L137" s="681"/>
      <c r="M137" s="681"/>
      <c r="N137" s="690"/>
    </row>
    <row r="138" spans="1:14">
      <c r="A138" s="766">
        <v>9</v>
      </c>
      <c r="B138" s="762" t="s">
        <v>463</v>
      </c>
      <c r="C138" s="763"/>
      <c r="D138" s="764"/>
      <c r="E138" s="763"/>
      <c r="F138" s="765"/>
      <c r="G138" s="677"/>
      <c r="H138" s="688"/>
      <c r="I138" s="688"/>
      <c r="J138" s="698"/>
      <c r="K138" s="681"/>
      <c r="L138" s="681"/>
      <c r="M138" s="681"/>
      <c r="N138" s="690"/>
    </row>
    <row r="139" spans="1:14">
      <c r="A139" s="767">
        <v>9.01</v>
      </c>
      <c r="B139" s="768" t="s">
        <v>464</v>
      </c>
      <c r="C139" s="774">
        <v>1621.52</v>
      </c>
      <c r="D139" s="769" t="s">
        <v>222</v>
      </c>
      <c r="E139" s="775">
        <v>300.42</v>
      </c>
      <c r="F139" s="770">
        <v>487137.04</v>
      </c>
      <c r="G139" s="677"/>
      <c r="H139" s="688"/>
      <c r="I139" s="688"/>
      <c r="J139" s="698"/>
      <c r="K139" s="681"/>
      <c r="L139" s="681"/>
      <c r="M139" s="681"/>
      <c r="N139" s="690"/>
    </row>
    <row r="140" spans="1:14">
      <c r="A140" s="764"/>
      <c r="B140" s="771" t="s">
        <v>39</v>
      </c>
      <c r="C140" s="771"/>
      <c r="D140" s="772"/>
      <c r="E140" s="771"/>
      <c r="F140" s="773">
        <f>F139</f>
        <v>487137.04</v>
      </c>
      <c r="G140" s="677"/>
      <c r="H140" s="688"/>
      <c r="I140" s="688"/>
      <c r="J140" s="698"/>
      <c r="K140" s="681"/>
      <c r="L140" s="681"/>
      <c r="M140" s="681"/>
      <c r="N140" s="690"/>
    </row>
    <row r="141" spans="1:14">
      <c r="A141" s="766">
        <v>10</v>
      </c>
      <c r="B141" s="762" t="s">
        <v>465</v>
      </c>
      <c r="C141" s="763"/>
      <c r="D141" s="764"/>
      <c r="E141" s="763"/>
      <c r="F141" s="765"/>
      <c r="G141" s="677"/>
      <c r="H141" s="688"/>
      <c r="I141" s="688"/>
      <c r="J141" s="698"/>
      <c r="K141" s="681"/>
      <c r="L141" s="681"/>
      <c r="M141" s="681"/>
      <c r="N141" s="690"/>
    </row>
    <row r="142" spans="1:14">
      <c r="A142" s="767">
        <v>10.01</v>
      </c>
      <c r="B142" s="768" t="s">
        <v>466</v>
      </c>
      <c r="C142" s="763"/>
      <c r="D142" s="764"/>
      <c r="E142" s="763"/>
      <c r="F142" s="765"/>
      <c r="G142" s="677"/>
      <c r="H142" s="688"/>
      <c r="I142" s="688"/>
      <c r="J142" s="698"/>
      <c r="K142" s="681"/>
      <c r="L142" s="681"/>
      <c r="M142" s="681"/>
      <c r="N142" s="690"/>
    </row>
    <row r="143" spans="1:14">
      <c r="A143" s="767">
        <v>10.02</v>
      </c>
      <c r="B143" s="768" t="s">
        <v>467</v>
      </c>
      <c r="C143" s="767">
        <v>5.4</v>
      </c>
      <c r="D143" s="769" t="s">
        <v>222</v>
      </c>
      <c r="E143" s="770">
        <v>6543.33</v>
      </c>
      <c r="F143" s="770">
        <v>35334</v>
      </c>
      <c r="G143" s="677"/>
      <c r="H143" s="688">
        <f>+C143*0.2</f>
        <v>1.08</v>
      </c>
      <c r="I143" s="688">
        <f t="shared" ref="I143:I154" si="70">G143+H143</f>
        <v>1.08</v>
      </c>
      <c r="J143" s="689">
        <f t="shared" ref="J143:J154" si="71">I143/C143</f>
        <v>0.2</v>
      </c>
      <c r="K143" s="681"/>
      <c r="L143" s="681">
        <f t="shared" ref="L143:L154" si="72">H143*E143</f>
        <v>7066.7964000000002</v>
      </c>
      <c r="M143" s="681">
        <f t="shared" ref="M143:M154" si="73">K143+L143</f>
        <v>7066.7964000000002</v>
      </c>
      <c r="N143" s="690"/>
    </row>
    <row r="144" spans="1:14">
      <c r="A144" s="767">
        <v>10.029999999999999</v>
      </c>
      <c r="B144" s="768" t="s">
        <v>468</v>
      </c>
      <c r="C144" s="767">
        <v>6</v>
      </c>
      <c r="D144" s="769" t="s">
        <v>52</v>
      </c>
      <c r="E144" s="770">
        <v>10994.43</v>
      </c>
      <c r="F144" s="770">
        <v>65966.58</v>
      </c>
      <c r="G144" s="677"/>
      <c r="H144" s="688">
        <f t="shared" ref="H144:H154" si="74">+C144*0.2</f>
        <v>1.2000000000000002</v>
      </c>
      <c r="I144" s="688">
        <f t="shared" si="70"/>
        <v>1.2000000000000002</v>
      </c>
      <c r="J144" s="689">
        <f t="shared" si="71"/>
        <v>0.20000000000000004</v>
      </c>
      <c r="K144" s="681"/>
      <c r="L144" s="681">
        <f t="shared" si="72"/>
        <v>13193.316000000003</v>
      </c>
      <c r="M144" s="681">
        <f t="shared" si="73"/>
        <v>13193.316000000003</v>
      </c>
      <c r="N144" s="690"/>
    </row>
    <row r="145" spans="1:14">
      <c r="A145" s="767">
        <v>10.039999999999999</v>
      </c>
      <c r="B145" s="768" t="s">
        <v>469</v>
      </c>
      <c r="C145" s="767">
        <v>8</v>
      </c>
      <c r="D145" s="769" t="s">
        <v>52</v>
      </c>
      <c r="E145" s="770">
        <v>12551.71</v>
      </c>
      <c r="F145" s="770">
        <v>100413.68</v>
      </c>
      <c r="G145" s="677"/>
      <c r="H145" s="688">
        <f t="shared" si="74"/>
        <v>1.6</v>
      </c>
      <c r="I145" s="688">
        <f t="shared" si="70"/>
        <v>1.6</v>
      </c>
      <c r="J145" s="689">
        <f t="shared" si="71"/>
        <v>0.2</v>
      </c>
      <c r="K145" s="681"/>
      <c r="L145" s="681">
        <f t="shared" si="72"/>
        <v>20082.736000000001</v>
      </c>
      <c r="M145" s="681">
        <f t="shared" si="73"/>
        <v>20082.736000000001</v>
      </c>
      <c r="N145" s="690"/>
    </row>
    <row r="146" spans="1:14">
      <c r="A146" s="767">
        <v>10.050000000000001</v>
      </c>
      <c r="B146" s="768" t="s">
        <v>470</v>
      </c>
      <c r="C146" s="767">
        <v>2</v>
      </c>
      <c r="D146" s="769" t="s">
        <v>52</v>
      </c>
      <c r="E146" s="770">
        <v>2783.77</v>
      </c>
      <c r="F146" s="770">
        <v>5567.54</v>
      </c>
      <c r="G146" s="677"/>
      <c r="H146" s="688">
        <f t="shared" si="74"/>
        <v>0.4</v>
      </c>
      <c r="I146" s="688">
        <f t="shared" si="70"/>
        <v>0.4</v>
      </c>
      <c r="J146" s="689">
        <f t="shared" si="71"/>
        <v>0.2</v>
      </c>
      <c r="K146" s="681"/>
      <c r="L146" s="681">
        <f t="shared" si="72"/>
        <v>1113.508</v>
      </c>
      <c r="M146" s="681">
        <f t="shared" si="73"/>
        <v>1113.508</v>
      </c>
      <c r="N146" s="690"/>
    </row>
    <row r="147" spans="1:14">
      <c r="A147" s="767">
        <v>10.06</v>
      </c>
      <c r="B147" s="768" t="s">
        <v>471</v>
      </c>
      <c r="C147" s="767">
        <v>2</v>
      </c>
      <c r="D147" s="769" t="s">
        <v>52</v>
      </c>
      <c r="E147" s="770">
        <v>10709.95</v>
      </c>
      <c r="F147" s="770">
        <v>21419.9</v>
      </c>
      <c r="G147" s="677"/>
      <c r="H147" s="688">
        <f t="shared" si="74"/>
        <v>0.4</v>
      </c>
      <c r="I147" s="688">
        <f t="shared" si="70"/>
        <v>0.4</v>
      </c>
      <c r="J147" s="689">
        <f t="shared" si="71"/>
        <v>0.2</v>
      </c>
      <c r="K147" s="681"/>
      <c r="L147" s="681">
        <f t="shared" si="72"/>
        <v>4283.9800000000005</v>
      </c>
      <c r="M147" s="681">
        <f t="shared" si="73"/>
        <v>4283.9800000000005</v>
      </c>
      <c r="N147" s="690"/>
    </row>
    <row r="148" spans="1:14">
      <c r="A148" s="767">
        <v>10.07</v>
      </c>
      <c r="B148" s="768" t="s">
        <v>489</v>
      </c>
      <c r="C148" s="767">
        <v>1</v>
      </c>
      <c r="D148" s="769" t="s">
        <v>52</v>
      </c>
      <c r="E148" s="770">
        <v>2239.4499999999998</v>
      </c>
      <c r="F148" s="770">
        <v>2239.4499999999998</v>
      </c>
      <c r="G148" s="677"/>
      <c r="H148" s="688">
        <f t="shared" si="74"/>
        <v>0.2</v>
      </c>
      <c r="I148" s="688">
        <f t="shared" si="70"/>
        <v>0.2</v>
      </c>
      <c r="J148" s="689">
        <f t="shared" si="71"/>
        <v>0.2</v>
      </c>
      <c r="K148" s="681"/>
      <c r="L148" s="681">
        <f t="shared" si="72"/>
        <v>447.89</v>
      </c>
      <c r="M148" s="681">
        <f t="shared" si="73"/>
        <v>447.89</v>
      </c>
      <c r="N148" s="690"/>
    </row>
    <row r="149" spans="1:14">
      <c r="A149" s="767">
        <v>10.08</v>
      </c>
      <c r="B149" s="768" t="s">
        <v>473</v>
      </c>
      <c r="C149" s="767">
        <v>1</v>
      </c>
      <c r="D149" s="769" t="s">
        <v>55</v>
      </c>
      <c r="E149" s="770">
        <v>135000</v>
      </c>
      <c r="F149" s="770">
        <v>135000</v>
      </c>
      <c r="G149" s="677"/>
      <c r="H149" s="688">
        <f t="shared" si="74"/>
        <v>0.2</v>
      </c>
      <c r="I149" s="688">
        <f t="shared" si="70"/>
        <v>0.2</v>
      </c>
      <c r="J149" s="689">
        <f t="shared" si="71"/>
        <v>0.2</v>
      </c>
      <c r="K149" s="681"/>
      <c r="L149" s="681">
        <f t="shared" si="72"/>
        <v>27000</v>
      </c>
      <c r="M149" s="681">
        <f t="shared" si="73"/>
        <v>27000</v>
      </c>
      <c r="N149" s="690"/>
    </row>
    <row r="150" spans="1:14">
      <c r="A150" s="767">
        <v>10.09</v>
      </c>
      <c r="B150" s="768" t="s">
        <v>474</v>
      </c>
      <c r="C150" s="763"/>
      <c r="D150" s="764"/>
      <c r="E150" s="763"/>
      <c r="F150" s="765"/>
      <c r="G150" s="677"/>
      <c r="H150" s="688"/>
      <c r="I150" s="688"/>
      <c r="J150" s="689"/>
      <c r="K150" s="681"/>
      <c r="L150" s="681"/>
      <c r="M150" s="681"/>
      <c r="N150" s="690"/>
    </row>
    <row r="151" spans="1:14">
      <c r="A151" s="767">
        <v>10.1</v>
      </c>
      <c r="B151" s="768" t="s">
        <v>475</v>
      </c>
      <c r="C151" s="767">
        <v>10</v>
      </c>
      <c r="D151" s="769" t="s">
        <v>330</v>
      </c>
      <c r="E151" s="770">
        <v>2955</v>
      </c>
      <c r="F151" s="770">
        <v>29550</v>
      </c>
      <c r="G151" s="677"/>
      <c r="H151" s="688">
        <f t="shared" si="74"/>
        <v>2</v>
      </c>
      <c r="I151" s="688">
        <f t="shared" si="70"/>
        <v>2</v>
      </c>
      <c r="J151" s="689">
        <f t="shared" si="71"/>
        <v>0.2</v>
      </c>
      <c r="K151" s="681"/>
      <c r="L151" s="681">
        <f t="shared" si="72"/>
        <v>5910</v>
      </c>
      <c r="M151" s="681">
        <f t="shared" si="73"/>
        <v>5910</v>
      </c>
      <c r="N151" s="690"/>
    </row>
    <row r="152" spans="1:14">
      <c r="A152" s="767">
        <v>10.11</v>
      </c>
      <c r="B152" s="768" t="s">
        <v>467</v>
      </c>
      <c r="C152" s="767">
        <v>1.2</v>
      </c>
      <c r="D152" s="769" t="s">
        <v>222</v>
      </c>
      <c r="E152" s="770">
        <v>6790</v>
      </c>
      <c r="F152" s="770">
        <v>8148</v>
      </c>
      <c r="G152" s="677"/>
      <c r="H152" s="688">
        <f t="shared" si="74"/>
        <v>0.24</v>
      </c>
      <c r="I152" s="688">
        <f t="shared" si="70"/>
        <v>0.24</v>
      </c>
      <c r="J152" s="689">
        <f t="shared" si="71"/>
        <v>0.2</v>
      </c>
      <c r="K152" s="681"/>
      <c r="L152" s="681">
        <f t="shared" si="72"/>
        <v>1629.6</v>
      </c>
      <c r="M152" s="681">
        <f t="shared" si="73"/>
        <v>1629.6</v>
      </c>
      <c r="N152" s="690"/>
    </row>
    <row r="153" spans="1:14">
      <c r="A153" s="767">
        <v>10.119999999999999</v>
      </c>
      <c r="B153" s="768" t="s">
        <v>476</v>
      </c>
      <c r="C153" s="767">
        <v>1</v>
      </c>
      <c r="D153" s="769" t="s">
        <v>52</v>
      </c>
      <c r="E153" s="770">
        <v>14106.81</v>
      </c>
      <c r="F153" s="770">
        <v>14106.81</v>
      </c>
      <c r="G153" s="677"/>
      <c r="H153" s="688">
        <f t="shared" si="74"/>
        <v>0.2</v>
      </c>
      <c r="I153" s="688">
        <f t="shared" si="70"/>
        <v>0.2</v>
      </c>
      <c r="J153" s="689">
        <f t="shared" si="71"/>
        <v>0.2</v>
      </c>
      <c r="K153" s="681"/>
      <c r="L153" s="681">
        <f t="shared" si="72"/>
        <v>2821.3620000000001</v>
      </c>
      <c r="M153" s="681">
        <f t="shared" si="73"/>
        <v>2821.3620000000001</v>
      </c>
      <c r="N153" s="690"/>
    </row>
    <row r="154" spans="1:14">
      <c r="A154" s="767">
        <v>10.130000000000001</v>
      </c>
      <c r="B154" s="768" t="s">
        <v>489</v>
      </c>
      <c r="C154" s="767">
        <v>1</v>
      </c>
      <c r="D154" s="769" t="s">
        <v>52</v>
      </c>
      <c r="E154" s="770">
        <v>2239.4499999999998</v>
      </c>
      <c r="F154" s="770">
        <v>2239.4499999999998</v>
      </c>
      <c r="G154" s="677"/>
      <c r="H154" s="688">
        <f t="shared" si="74"/>
        <v>0.2</v>
      </c>
      <c r="I154" s="688">
        <f t="shared" si="70"/>
        <v>0.2</v>
      </c>
      <c r="J154" s="689">
        <f t="shared" si="71"/>
        <v>0.2</v>
      </c>
      <c r="K154" s="681"/>
      <c r="L154" s="681">
        <f t="shared" si="72"/>
        <v>447.89</v>
      </c>
      <c r="M154" s="681">
        <f t="shared" si="73"/>
        <v>447.89</v>
      </c>
      <c r="N154" s="690"/>
    </row>
    <row r="155" spans="1:14">
      <c r="A155" s="764"/>
      <c r="B155" s="771" t="s">
        <v>39</v>
      </c>
      <c r="C155" s="771"/>
      <c r="D155" s="772"/>
      <c r="E155" s="771"/>
      <c r="F155" s="773">
        <f>SUM(F143:F154)</f>
        <v>419985.41000000003</v>
      </c>
      <c r="G155" s="677"/>
      <c r="H155" s="688"/>
      <c r="I155" s="688"/>
      <c r="J155" s="698"/>
      <c r="K155" s="703">
        <f>+SUBTOTAL(9,K143:K154)</f>
        <v>0</v>
      </c>
      <c r="L155" s="703">
        <f>+SUBTOTAL(9,L143:L154)</f>
        <v>83997.078400000013</v>
      </c>
      <c r="M155" s="703">
        <f>+SUBTOTAL(9,M143:M154)</f>
        <v>83997.078400000013</v>
      </c>
      <c r="N155" s="690"/>
    </row>
    <row r="156" spans="1:14">
      <c r="A156" s="766">
        <v>11</v>
      </c>
      <c r="B156" s="762" t="s">
        <v>478</v>
      </c>
      <c r="C156" s="763"/>
      <c r="D156" s="764"/>
      <c r="E156" s="763"/>
      <c r="F156" s="765"/>
      <c r="G156" s="677"/>
      <c r="H156" s="688"/>
      <c r="I156" s="688"/>
      <c r="J156" s="698"/>
      <c r="K156" s="681"/>
      <c r="L156" s="681"/>
      <c r="M156" s="681"/>
      <c r="N156" s="690"/>
    </row>
    <row r="157" spans="1:14">
      <c r="A157" s="767">
        <v>11.01</v>
      </c>
      <c r="B157" s="768" t="s">
        <v>479</v>
      </c>
      <c r="C157" s="767">
        <v>50</v>
      </c>
      <c r="D157" s="769" t="s">
        <v>52</v>
      </c>
      <c r="E157" s="770">
        <v>1473.68</v>
      </c>
      <c r="F157" s="770">
        <v>73684</v>
      </c>
      <c r="G157" s="677"/>
      <c r="H157" s="688">
        <f t="shared" ref="H157:H165" si="75">+C157*0.2</f>
        <v>10</v>
      </c>
      <c r="I157" s="688">
        <f t="shared" ref="I157:I165" si="76">G157+H157</f>
        <v>10</v>
      </c>
      <c r="J157" s="689">
        <f t="shared" ref="J157:J165" si="77">I157/C157</f>
        <v>0.2</v>
      </c>
      <c r="K157" s="681"/>
      <c r="L157" s="681">
        <f t="shared" ref="L157:L165" si="78">H157*E157</f>
        <v>14736.800000000001</v>
      </c>
      <c r="M157" s="681">
        <f t="shared" ref="M157:M165" si="79">K157+L157</f>
        <v>14736.800000000001</v>
      </c>
      <c r="N157" s="690"/>
    </row>
    <row r="158" spans="1:14">
      <c r="A158" s="767">
        <v>11.02</v>
      </c>
      <c r="B158" s="768" t="s">
        <v>480</v>
      </c>
      <c r="C158" s="767">
        <v>12</v>
      </c>
      <c r="D158" s="769" t="s">
        <v>52</v>
      </c>
      <c r="E158" s="770">
        <v>1586.98</v>
      </c>
      <c r="F158" s="770">
        <v>19043.71</v>
      </c>
      <c r="G158" s="677"/>
      <c r="H158" s="688">
        <f t="shared" si="75"/>
        <v>2.4000000000000004</v>
      </c>
      <c r="I158" s="688">
        <f t="shared" si="76"/>
        <v>2.4000000000000004</v>
      </c>
      <c r="J158" s="689">
        <f t="shared" si="77"/>
        <v>0.20000000000000004</v>
      </c>
      <c r="K158" s="681"/>
      <c r="L158" s="681">
        <f t="shared" si="78"/>
        <v>3808.7520000000004</v>
      </c>
      <c r="M158" s="681">
        <f t="shared" si="79"/>
        <v>3808.7520000000004</v>
      </c>
      <c r="N158" s="690"/>
    </row>
    <row r="159" spans="1:14">
      <c r="A159" s="767">
        <v>11.03</v>
      </c>
      <c r="B159" s="768" t="s">
        <v>481</v>
      </c>
      <c r="C159" s="767">
        <v>2</v>
      </c>
      <c r="D159" s="769" t="s">
        <v>52</v>
      </c>
      <c r="E159" s="770">
        <v>2082.37</v>
      </c>
      <c r="F159" s="770">
        <v>4164.74</v>
      </c>
      <c r="G159" s="677"/>
      <c r="H159" s="688">
        <f t="shared" si="75"/>
        <v>0.4</v>
      </c>
      <c r="I159" s="688">
        <f t="shared" si="76"/>
        <v>0.4</v>
      </c>
      <c r="J159" s="689">
        <f t="shared" si="77"/>
        <v>0.2</v>
      </c>
      <c r="K159" s="681"/>
      <c r="L159" s="681">
        <f t="shared" si="78"/>
        <v>832.94799999999998</v>
      </c>
      <c r="M159" s="681">
        <f t="shared" si="79"/>
        <v>832.94799999999998</v>
      </c>
      <c r="N159" s="690"/>
    </row>
    <row r="160" spans="1:14">
      <c r="A160" s="767">
        <v>11.04</v>
      </c>
      <c r="B160" s="768" t="s">
        <v>482</v>
      </c>
      <c r="C160" s="767">
        <v>1</v>
      </c>
      <c r="D160" s="769" t="s">
        <v>52</v>
      </c>
      <c r="E160" s="770">
        <v>2452.84</v>
      </c>
      <c r="F160" s="770">
        <v>2452.84</v>
      </c>
      <c r="G160" s="677"/>
      <c r="H160" s="688">
        <f t="shared" si="75"/>
        <v>0.2</v>
      </c>
      <c r="I160" s="688">
        <f t="shared" si="76"/>
        <v>0.2</v>
      </c>
      <c r="J160" s="689">
        <f t="shared" si="77"/>
        <v>0.2</v>
      </c>
      <c r="K160" s="681"/>
      <c r="L160" s="681">
        <f t="shared" si="78"/>
        <v>490.56800000000004</v>
      </c>
      <c r="M160" s="681">
        <f t="shared" si="79"/>
        <v>490.56800000000004</v>
      </c>
      <c r="N160" s="690"/>
    </row>
    <row r="161" spans="1:14">
      <c r="A161" s="767">
        <v>11.05</v>
      </c>
      <c r="B161" s="768" t="s">
        <v>483</v>
      </c>
      <c r="C161" s="767">
        <v>2</v>
      </c>
      <c r="D161" s="769" t="s">
        <v>52</v>
      </c>
      <c r="E161" s="770">
        <v>1944.31</v>
      </c>
      <c r="F161" s="770">
        <v>3888.62</v>
      </c>
      <c r="G161" s="677"/>
      <c r="H161" s="688">
        <f t="shared" si="75"/>
        <v>0.4</v>
      </c>
      <c r="I161" s="688">
        <f t="shared" si="76"/>
        <v>0.4</v>
      </c>
      <c r="J161" s="689">
        <f t="shared" si="77"/>
        <v>0.2</v>
      </c>
      <c r="K161" s="681"/>
      <c r="L161" s="681">
        <f t="shared" si="78"/>
        <v>777.72400000000005</v>
      </c>
      <c r="M161" s="681">
        <f t="shared" si="79"/>
        <v>777.72400000000005</v>
      </c>
      <c r="N161" s="690"/>
    </row>
    <row r="162" spans="1:14">
      <c r="A162" s="767">
        <v>11.06</v>
      </c>
      <c r="B162" s="768" t="s">
        <v>484</v>
      </c>
      <c r="C162" s="767">
        <v>46</v>
      </c>
      <c r="D162" s="769" t="s">
        <v>52</v>
      </c>
      <c r="E162" s="770">
        <v>1859.58</v>
      </c>
      <c r="F162" s="770">
        <v>85540.68</v>
      </c>
      <c r="G162" s="677"/>
      <c r="H162" s="688">
        <f t="shared" si="75"/>
        <v>9.2000000000000011</v>
      </c>
      <c r="I162" s="688">
        <f t="shared" si="76"/>
        <v>9.2000000000000011</v>
      </c>
      <c r="J162" s="689">
        <f t="shared" si="77"/>
        <v>0.2</v>
      </c>
      <c r="K162" s="681"/>
      <c r="L162" s="681">
        <f t="shared" si="78"/>
        <v>17108.136000000002</v>
      </c>
      <c r="M162" s="681">
        <f t="shared" si="79"/>
        <v>17108.136000000002</v>
      </c>
      <c r="N162" s="690"/>
    </row>
    <row r="163" spans="1:14">
      <c r="A163" s="767">
        <v>11.07</v>
      </c>
      <c r="B163" s="768" t="s">
        <v>485</v>
      </c>
      <c r="C163" s="767">
        <v>14</v>
      </c>
      <c r="D163" s="769" t="s">
        <v>52</v>
      </c>
      <c r="E163" s="770">
        <v>3945.79</v>
      </c>
      <c r="F163" s="770">
        <v>55241.06</v>
      </c>
      <c r="G163" s="677"/>
      <c r="H163" s="688">
        <f t="shared" si="75"/>
        <v>2.8000000000000003</v>
      </c>
      <c r="I163" s="688">
        <f t="shared" si="76"/>
        <v>2.8000000000000003</v>
      </c>
      <c r="J163" s="689">
        <f t="shared" si="77"/>
        <v>0.2</v>
      </c>
      <c r="K163" s="681"/>
      <c r="L163" s="681">
        <f t="shared" si="78"/>
        <v>11048.212000000001</v>
      </c>
      <c r="M163" s="681">
        <f t="shared" si="79"/>
        <v>11048.212000000001</v>
      </c>
      <c r="N163" s="690"/>
    </row>
    <row r="164" spans="1:14">
      <c r="A164" s="767">
        <v>11.08</v>
      </c>
      <c r="B164" s="768" t="s">
        <v>486</v>
      </c>
      <c r="C164" s="767">
        <v>36</v>
      </c>
      <c r="D164" s="769" t="s">
        <v>52</v>
      </c>
      <c r="E164" s="770">
        <v>1368.29</v>
      </c>
      <c r="F164" s="770">
        <v>49258.44</v>
      </c>
      <c r="G164" s="677"/>
      <c r="H164" s="688">
        <f t="shared" si="75"/>
        <v>7.2</v>
      </c>
      <c r="I164" s="688">
        <f t="shared" si="76"/>
        <v>7.2</v>
      </c>
      <c r="J164" s="689">
        <f t="shared" si="77"/>
        <v>0.2</v>
      </c>
      <c r="K164" s="681"/>
      <c r="L164" s="681">
        <f t="shared" si="78"/>
        <v>9851.6880000000001</v>
      </c>
      <c r="M164" s="681">
        <f t="shared" si="79"/>
        <v>9851.6880000000001</v>
      </c>
      <c r="N164" s="690"/>
    </row>
    <row r="165" spans="1:14">
      <c r="A165" s="776">
        <v>11.09</v>
      </c>
      <c r="B165" s="777" t="s">
        <v>487</v>
      </c>
      <c r="C165" s="776">
        <v>1</v>
      </c>
      <c r="D165" s="778" t="s">
        <v>52</v>
      </c>
      <c r="E165" s="779">
        <v>16939.810000000001</v>
      </c>
      <c r="F165" s="779">
        <v>16939.810000000001</v>
      </c>
      <c r="G165" s="677"/>
      <c r="H165" s="688">
        <f t="shared" si="75"/>
        <v>0.2</v>
      </c>
      <c r="I165" s="688">
        <f t="shared" si="76"/>
        <v>0.2</v>
      </c>
      <c r="J165" s="689">
        <f t="shared" si="77"/>
        <v>0.2</v>
      </c>
      <c r="K165" s="681"/>
      <c r="L165" s="681">
        <f t="shared" si="78"/>
        <v>3387.9620000000004</v>
      </c>
      <c r="M165" s="681">
        <f t="shared" si="79"/>
        <v>3387.9620000000004</v>
      </c>
      <c r="N165" s="690"/>
    </row>
    <row r="166" spans="1:14">
      <c r="A166" s="752"/>
      <c r="B166" s="756" t="s">
        <v>39</v>
      </c>
      <c r="C166" s="757"/>
      <c r="D166" s="758"/>
      <c r="E166" s="759"/>
      <c r="F166" s="760">
        <f>SUM(F157:F165)</f>
        <v>310213.89999999997</v>
      </c>
      <c r="G166" s="677"/>
      <c r="H166" s="688"/>
      <c r="I166" s="688"/>
      <c r="J166" s="698"/>
      <c r="K166" s="703">
        <f>+SUBTOTAL(9,K157:K165)</f>
        <v>0</v>
      </c>
      <c r="L166" s="703">
        <f>+SUBTOTAL(9,L157:L165)</f>
        <v>62042.79</v>
      </c>
      <c r="M166" s="703">
        <f>+SUBTOTAL(9,M157:M165)</f>
        <v>62042.79</v>
      </c>
      <c r="N166" s="690"/>
    </row>
    <row r="167" spans="1:14">
      <c r="A167" s="780" t="s">
        <v>67</v>
      </c>
      <c r="B167" s="781" t="s">
        <v>490</v>
      </c>
      <c r="C167" s="782"/>
      <c r="D167" s="783"/>
      <c r="E167" s="782"/>
      <c r="F167" s="784"/>
      <c r="G167" s="677"/>
      <c r="H167" s="688"/>
      <c r="I167" s="688"/>
      <c r="J167" s="698"/>
      <c r="K167" s="681"/>
      <c r="L167" s="681"/>
      <c r="M167" s="681"/>
      <c r="N167" s="690"/>
    </row>
    <row r="168" spans="1:14">
      <c r="A168" s="767">
        <v>1</v>
      </c>
      <c r="B168" s="768" t="s">
        <v>426</v>
      </c>
      <c r="C168" s="763"/>
      <c r="D168" s="764"/>
      <c r="E168" s="763"/>
      <c r="F168" s="765"/>
      <c r="G168" s="677"/>
      <c r="H168" s="688"/>
      <c r="I168" s="688"/>
      <c r="J168" s="698"/>
      <c r="K168" s="681"/>
      <c r="L168" s="681"/>
      <c r="M168" s="681"/>
      <c r="N168" s="690"/>
    </row>
    <row r="169" spans="1:14">
      <c r="A169" s="767">
        <v>1.01</v>
      </c>
      <c r="B169" s="768" t="s">
        <v>429</v>
      </c>
      <c r="C169" s="767">
        <v>12.96</v>
      </c>
      <c r="D169" s="769" t="s">
        <v>45</v>
      </c>
      <c r="E169" s="770">
        <v>28921.24</v>
      </c>
      <c r="F169" s="770">
        <v>374819.27</v>
      </c>
      <c r="G169" s="677">
        <v>10.368000000000002</v>
      </c>
      <c r="H169" s="688">
        <f>+C169-G169</f>
        <v>2.5919999999999987</v>
      </c>
      <c r="I169" s="688">
        <f t="shared" ref="I169:I173" si="80">G169+H169</f>
        <v>12.96</v>
      </c>
      <c r="J169" s="689">
        <f t="shared" ref="J169:J173" si="81">I169/C169</f>
        <v>1</v>
      </c>
      <c r="K169" s="681">
        <v>299855.41632000008</v>
      </c>
      <c r="L169" s="681">
        <f>H169*E169</f>
        <v>74963.854079999961</v>
      </c>
      <c r="M169" s="681">
        <f t="shared" ref="M169:M172" si="82">K169+L169</f>
        <v>374819.27040000004</v>
      </c>
      <c r="N169" s="690"/>
    </row>
    <row r="170" spans="1:14">
      <c r="A170" s="767">
        <v>1.02</v>
      </c>
      <c r="B170" s="768" t="s">
        <v>431</v>
      </c>
      <c r="C170" s="767">
        <v>35.380000000000003</v>
      </c>
      <c r="D170" s="769" t="s">
        <v>45</v>
      </c>
      <c r="E170" s="770">
        <v>19346.84</v>
      </c>
      <c r="F170" s="770">
        <v>684491.13</v>
      </c>
      <c r="G170" s="677">
        <v>28.304000000000002</v>
      </c>
      <c r="H170" s="688">
        <f t="shared" ref="H170:H173" si="83">+C170-G170</f>
        <v>7.0760000000000005</v>
      </c>
      <c r="I170" s="688">
        <f t="shared" si="80"/>
        <v>35.380000000000003</v>
      </c>
      <c r="J170" s="689">
        <f t="shared" si="81"/>
        <v>1</v>
      </c>
      <c r="K170" s="681">
        <v>547592.9593600001</v>
      </c>
      <c r="L170" s="681">
        <f t="shared" ref="L170:L173" si="84">H170*E170</f>
        <v>136898.23984000002</v>
      </c>
      <c r="M170" s="681">
        <f t="shared" si="82"/>
        <v>684491.19920000015</v>
      </c>
      <c r="N170" s="690"/>
    </row>
    <row r="171" spans="1:14">
      <c r="A171" s="767">
        <v>1.03</v>
      </c>
      <c r="B171" s="768" t="s">
        <v>432</v>
      </c>
      <c r="C171" s="767">
        <v>19.13</v>
      </c>
      <c r="D171" s="769" t="s">
        <v>45</v>
      </c>
      <c r="E171" s="770">
        <v>29188.959999999999</v>
      </c>
      <c r="F171" s="770">
        <v>558238.86</v>
      </c>
      <c r="G171" s="677">
        <v>15.304</v>
      </c>
      <c r="H171" s="688">
        <f t="shared" si="83"/>
        <v>3.8259999999999987</v>
      </c>
      <c r="I171" s="688">
        <f t="shared" si="80"/>
        <v>19.13</v>
      </c>
      <c r="J171" s="689">
        <f t="shared" si="81"/>
        <v>1</v>
      </c>
      <c r="K171" s="681">
        <v>446707.84383999999</v>
      </c>
      <c r="L171" s="681">
        <f t="shared" si="84"/>
        <v>111676.96095999995</v>
      </c>
      <c r="M171" s="681">
        <f t="shared" si="82"/>
        <v>558384.80479999993</v>
      </c>
      <c r="N171" s="690"/>
    </row>
    <row r="172" spans="1:14">
      <c r="A172" s="767">
        <v>1.04</v>
      </c>
      <c r="B172" s="768" t="s">
        <v>433</v>
      </c>
      <c r="C172" s="767">
        <v>2.38</v>
      </c>
      <c r="D172" s="769" t="s">
        <v>45</v>
      </c>
      <c r="E172" s="770">
        <v>43456.03</v>
      </c>
      <c r="F172" s="770">
        <v>103425.35</v>
      </c>
      <c r="G172" s="677">
        <v>1.9039999999999999</v>
      </c>
      <c r="H172" s="688">
        <f t="shared" si="83"/>
        <v>0.47599999999999998</v>
      </c>
      <c r="I172" s="688">
        <f t="shared" si="80"/>
        <v>2.38</v>
      </c>
      <c r="J172" s="689">
        <f t="shared" si="81"/>
        <v>1</v>
      </c>
      <c r="K172" s="681">
        <v>82740.28112</v>
      </c>
      <c r="L172" s="681">
        <f t="shared" si="84"/>
        <v>20685.07028</v>
      </c>
      <c r="M172" s="681">
        <f t="shared" si="82"/>
        <v>103425.3514</v>
      </c>
      <c r="N172" s="690"/>
    </row>
    <row r="173" spans="1:14">
      <c r="A173" s="767">
        <v>1.05</v>
      </c>
      <c r="B173" s="768" t="s">
        <v>435</v>
      </c>
      <c r="C173" s="767">
        <v>55.44</v>
      </c>
      <c r="D173" s="769" t="s">
        <v>45</v>
      </c>
      <c r="E173" s="770">
        <v>24931.97</v>
      </c>
      <c r="F173" s="770">
        <v>1382228.15</v>
      </c>
      <c r="G173" s="677">
        <v>44.352000000000004</v>
      </c>
      <c r="H173" s="688">
        <f t="shared" si="83"/>
        <v>11.087999999999994</v>
      </c>
      <c r="I173" s="688">
        <f t="shared" si="80"/>
        <v>55.44</v>
      </c>
      <c r="J173" s="689">
        <f t="shared" si="81"/>
        <v>1</v>
      </c>
      <c r="K173" s="681">
        <v>1105782.7334400001</v>
      </c>
      <c r="L173" s="681">
        <f t="shared" si="84"/>
        <v>276445.68335999985</v>
      </c>
      <c r="M173" s="681">
        <f>K173+L173</f>
        <v>1382228.4168</v>
      </c>
      <c r="N173" s="690"/>
    </row>
    <row r="174" spans="1:14">
      <c r="A174" s="764"/>
      <c r="B174" s="771" t="s">
        <v>39</v>
      </c>
      <c r="C174" s="785">
        <f>SUM(C169:C173)</f>
        <v>125.28999999999999</v>
      </c>
      <c r="D174" s="772"/>
      <c r="E174" s="771"/>
      <c r="F174" s="773">
        <f>SUM(F169:F173)</f>
        <v>3103202.76</v>
      </c>
      <c r="G174" s="677"/>
      <c r="H174" s="688"/>
      <c r="I174" s="688"/>
      <c r="J174" s="698"/>
      <c r="K174" s="703">
        <f>+SUBTOTAL(9,K169:K173)</f>
        <v>2482679.2340800003</v>
      </c>
      <c r="L174" s="703">
        <f>+SUBTOTAL(9,L169:L173)</f>
        <v>620669.80851999973</v>
      </c>
      <c r="M174" s="703">
        <f>+SUBTOTAL(9,M169:M173)</f>
        <v>3103349.0426000003</v>
      </c>
      <c r="N174" s="690"/>
    </row>
    <row r="175" spans="1:14">
      <c r="A175" s="766">
        <v>2</v>
      </c>
      <c r="B175" s="762" t="s">
        <v>436</v>
      </c>
      <c r="C175" s="763"/>
      <c r="D175" s="764"/>
      <c r="E175" s="763"/>
      <c r="F175" s="765"/>
      <c r="G175" s="677"/>
      <c r="H175" s="688"/>
      <c r="I175" s="688"/>
      <c r="J175" s="698"/>
      <c r="K175" s="681"/>
      <c r="L175" s="681"/>
      <c r="M175" s="681"/>
      <c r="N175" s="690"/>
    </row>
    <row r="176" spans="1:14">
      <c r="A176" s="767">
        <v>2.0099999999999998</v>
      </c>
      <c r="B176" s="768" t="s">
        <v>437</v>
      </c>
      <c r="C176" s="767">
        <v>122.79</v>
      </c>
      <c r="D176" s="769" t="s">
        <v>222</v>
      </c>
      <c r="E176" s="770">
        <v>1479.5</v>
      </c>
      <c r="F176" s="770">
        <v>181667.81</v>
      </c>
      <c r="G176" s="677"/>
      <c r="H176" s="688">
        <f>+C176*0.5</f>
        <v>61.395000000000003</v>
      </c>
      <c r="I176" s="688">
        <f t="shared" ref="I176" si="85">G176+H176</f>
        <v>61.395000000000003</v>
      </c>
      <c r="J176" s="689">
        <f t="shared" ref="J176" si="86">I176/C176</f>
        <v>0.5</v>
      </c>
      <c r="K176" s="681"/>
      <c r="L176" s="681">
        <f t="shared" ref="L176" si="87">H176*E176</f>
        <v>90833.902500000011</v>
      </c>
      <c r="M176" s="681">
        <f>K176+L176</f>
        <v>90833.902500000011</v>
      </c>
      <c r="N176" s="690"/>
    </row>
    <row r="177" spans="1:14">
      <c r="A177" s="764"/>
      <c r="B177" s="771" t="s">
        <v>39</v>
      </c>
      <c r="C177" s="771"/>
      <c r="D177" s="772"/>
      <c r="E177" s="771"/>
      <c r="F177" s="773">
        <f>F176</f>
        <v>181667.81</v>
      </c>
      <c r="G177" s="677"/>
      <c r="H177" s="688"/>
      <c r="I177" s="688"/>
      <c r="J177" s="698"/>
      <c r="K177" s="703">
        <f>+SUBTOTAL(9,K176)</f>
        <v>0</v>
      </c>
      <c r="L177" s="703">
        <f t="shared" ref="L177:M177" si="88">+SUBTOTAL(9,L176)</f>
        <v>90833.902500000011</v>
      </c>
      <c r="M177" s="703">
        <f t="shared" si="88"/>
        <v>90833.902500000011</v>
      </c>
      <c r="N177" s="690"/>
    </row>
    <row r="178" spans="1:14">
      <c r="A178" s="766">
        <v>3</v>
      </c>
      <c r="B178" s="762" t="s">
        <v>438</v>
      </c>
      <c r="C178" s="763"/>
      <c r="D178" s="764"/>
      <c r="E178" s="763"/>
      <c r="F178" s="765"/>
      <c r="G178" s="677"/>
      <c r="H178" s="688"/>
      <c r="I178" s="688"/>
      <c r="J178" s="698"/>
      <c r="K178" s="681"/>
      <c r="L178" s="681"/>
      <c r="M178" s="681"/>
      <c r="N178" s="690"/>
    </row>
    <row r="179" spans="1:14">
      <c r="A179" s="767">
        <v>3.01</v>
      </c>
      <c r="B179" s="768" t="s">
        <v>439</v>
      </c>
      <c r="C179" s="774">
        <v>1102.0999999999999</v>
      </c>
      <c r="D179" s="769" t="s">
        <v>222</v>
      </c>
      <c r="E179" s="775">
        <v>64.19</v>
      </c>
      <c r="F179" s="770">
        <v>70743.8</v>
      </c>
      <c r="G179" s="677"/>
      <c r="H179" s="688">
        <f>+C179*0.5</f>
        <v>551.04999999999995</v>
      </c>
      <c r="I179" s="688">
        <f t="shared" ref="I179:I181" si="89">G179+H179</f>
        <v>551.04999999999995</v>
      </c>
      <c r="J179" s="689">
        <f t="shared" ref="J179:J181" si="90">I179/C179</f>
        <v>0.5</v>
      </c>
      <c r="K179" s="681"/>
      <c r="L179" s="681">
        <f t="shared" ref="L179:L181" si="91">H179*E179</f>
        <v>35371.899499999992</v>
      </c>
      <c r="M179" s="681">
        <f>K179+L179</f>
        <v>35371.899499999992</v>
      </c>
      <c r="N179" s="690"/>
    </row>
    <row r="180" spans="1:14" ht="25.5">
      <c r="A180" s="767">
        <v>3.02</v>
      </c>
      <c r="B180" s="768" t="s">
        <v>440</v>
      </c>
      <c r="C180" s="767">
        <v>245.58</v>
      </c>
      <c r="D180" s="769" t="s">
        <v>222</v>
      </c>
      <c r="E180" s="775">
        <v>461.37</v>
      </c>
      <c r="F180" s="770">
        <v>113303.24</v>
      </c>
      <c r="G180" s="677"/>
      <c r="H180" s="688">
        <f t="shared" ref="H180:H181" si="92">+C180*0.5</f>
        <v>122.79</v>
      </c>
      <c r="I180" s="688">
        <f t="shared" si="89"/>
        <v>122.79</v>
      </c>
      <c r="J180" s="689">
        <f t="shared" si="90"/>
        <v>0.5</v>
      </c>
      <c r="K180" s="681"/>
      <c r="L180" s="681">
        <f t="shared" si="91"/>
        <v>56651.622300000003</v>
      </c>
      <c r="M180" s="681">
        <f t="shared" ref="M180:M181" si="93">K180+L180</f>
        <v>56651.622300000003</v>
      </c>
      <c r="N180" s="690"/>
    </row>
    <row r="181" spans="1:14">
      <c r="A181" s="767">
        <v>3.03</v>
      </c>
      <c r="B181" s="768" t="s">
        <v>441</v>
      </c>
      <c r="C181" s="767">
        <v>27</v>
      </c>
      <c r="D181" s="769" t="s">
        <v>38</v>
      </c>
      <c r="E181" s="775">
        <v>137.16999999999999</v>
      </c>
      <c r="F181" s="770">
        <v>3703.59</v>
      </c>
      <c r="G181" s="677"/>
      <c r="H181" s="688">
        <f t="shared" si="92"/>
        <v>13.5</v>
      </c>
      <c r="I181" s="688">
        <f t="shared" si="89"/>
        <v>13.5</v>
      </c>
      <c r="J181" s="689">
        <f t="shared" si="90"/>
        <v>0.5</v>
      </c>
      <c r="K181" s="681"/>
      <c r="L181" s="681">
        <f t="shared" si="91"/>
        <v>1851.7949999999998</v>
      </c>
      <c r="M181" s="681">
        <f t="shared" si="93"/>
        <v>1851.7949999999998</v>
      </c>
      <c r="N181" s="690"/>
    </row>
    <row r="182" spans="1:14">
      <c r="A182" s="764"/>
      <c r="B182" s="771" t="s">
        <v>39</v>
      </c>
      <c r="C182" s="771"/>
      <c r="D182" s="772"/>
      <c r="E182" s="771"/>
      <c r="F182" s="773">
        <f>SUM(F179:F181)</f>
        <v>187750.63</v>
      </c>
      <c r="G182" s="677"/>
      <c r="H182" s="688"/>
      <c r="I182" s="688"/>
      <c r="J182" s="698"/>
      <c r="K182" s="703">
        <f>+SUBTOTAL(9,K179:K181)</f>
        <v>0</v>
      </c>
      <c r="L182" s="703">
        <f>+SUBTOTAL(9,L179:L181)</f>
        <v>93875.316799999986</v>
      </c>
      <c r="M182" s="703">
        <f>+SUBTOTAL(9,M179:M181)</f>
        <v>93875.316799999986</v>
      </c>
      <c r="N182" s="690"/>
    </row>
    <row r="183" spans="1:14">
      <c r="A183" s="766">
        <v>4</v>
      </c>
      <c r="B183" s="762" t="s">
        <v>442</v>
      </c>
      <c r="C183" s="763"/>
      <c r="D183" s="764"/>
      <c r="E183" s="763"/>
      <c r="F183" s="765"/>
      <c r="G183" s="677"/>
      <c r="H183" s="688"/>
      <c r="I183" s="688"/>
      <c r="J183" s="698"/>
      <c r="K183" s="681"/>
      <c r="L183" s="681"/>
      <c r="M183" s="681"/>
      <c r="N183" s="690"/>
    </row>
    <row r="184" spans="1:14">
      <c r="A184" s="767">
        <v>4.01</v>
      </c>
      <c r="B184" s="768" t="s">
        <v>443</v>
      </c>
      <c r="C184" s="767">
        <v>32</v>
      </c>
      <c r="D184" s="769" t="s">
        <v>222</v>
      </c>
      <c r="E184" s="770">
        <v>1798.75</v>
      </c>
      <c r="F184" s="770">
        <v>57560</v>
      </c>
      <c r="G184" s="677"/>
      <c r="H184" s="688">
        <f>+C184*0.5</f>
        <v>16</v>
      </c>
      <c r="I184" s="688">
        <f t="shared" ref="I184:I189" si="94">G184+H184</f>
        <v>16</v>
      </c>
      <c r="J184" s="689">
        <f t="shared" ref="J184:J189" si="95">I184/C184</f>
        <v>0.5</v>
      </c>
      <c r="K184" s="681"/>
      <c r="L184" s="681">
        <f t="shared" ref="L184:L189" si="96">H184*E184</f>
        <v>28780</v>
      </c>
      <c r="M184" s="681">
        <f>K184+L184</f>
        <v>28780</v>
      </c>
      <c r="N184" s="690"/>
    </row>
    <row r="185" spans="1:14">
      <c r="A185" s="767">
        <v>4.0199999999999996</v>
      </c>
      <c r="B185" s="768" t="s">
        <v>444</v>
      </c>
      <c r="C185" s="767">
        <v>2.6</v>
      </c>
      <c r="D185" s="769" t="s">
        <v>222</v>
      </c>
      <c r="E185" s="770">
        <v>1748.75</v>
      </c>
      <c r="F185" s="770">
        <v>4546.75</v>
      </c>
      <c r="G185" s="677"/>
      <c r="H185" s="688">
        <f t="shared" ref="H185:H189" si="97">+C185*0.5</f>
        <v>1.3</v>
      </c>
      <c r="I185" s="688">
        <f t="shared" si="94"/>
        <v>1.3</v>
      </c>
      <c r="J185" s="689">
        <f t="shared" si="95"/>
        <v>0.5</v>
      </c>
      <c r="K185" s="681"/>
      <c r="L185" s="681">
        <f t="shared" si="96"/>
        <v>2273.375</v>
      </c>
      <c r="M185" s="681">
        <f t="shared" ref="M185:M189" si="98">K185+L185</f>
        <v>2273.375</v>
      </c>
      <c r="N185" s="690"/>
    </row>
    <row r="186" spans="1:14">
      <c r="A186" s="767">
        <v>4.03</v>
      </c>
      <c r="B186" s="768" t="s">
        <v>445</v>
      </c>
      <c r="C186" s="774">
        <v>3240.05</v>
      </c>
      <c r="D186" s="769" t="s">
        <v>446</v>
      </c>
      <c r="E186" s="775">
        <v>649</v>
      </c>
      <c r="F186" s="770">
        <v>2102793.23</v>
      </c>
      <c r="G186" s="677"/>
      <c r="H186" s="688">
        <f t="shared" si="97"/>
        <v>1620.0250000000001</v>
      </c>
      <c r="I186" s="688">
        <f t="shared" si="94"/>
        <v>1620.0250000000001</v>
      </c>
      <c r="J186" s="689">
        <f t="shared" si="95"/>
        <v>0.5</v>
      </c>
      <c r="K186" s="681"/>
      <c r="L186" s="681">
        <f t="shared" si="96"/>
        <v>1051396.2250000001</v>
      </c>
      <c r="M186" s="681">
        <f t="shared" si="98"/>
        <v>1051396.2250000001</v>
      </c>
      <c r="N186" s="690"/>
    </row>
    <row r="187" spans="1:14">
      <c r="A187" s="767">
        <v>4.04</v>
      </c>
      <c r="B187" s="768" t="s">
        <v>447</v>
      </c>
      <c r="C187" s="767">
        <v>167.19</v>
      </c>
      <c r="D187" s="769" t="s">
        <v>222</v>
      </c>
      <c r="E187" s="770">
        <v>6983.24</v>
      </c>
      <c r="F187" s="770">
        <v>1167527.8999999999</v>
      </c>
      <c r="G187" s="677"/>
      <c r="H187" s="688">
        <f t="shared" si="97"/>
        <v>83.594999999999999</v>
      </c>
      <c r="I187" s="688">
        <f t="shared" si="94"/>
        <v>83.594999999999999</v>
      </c>
      <c r="J187" s="689">
        <f t="shared" si="95"/>
        <v>0.5</v>
      </c>
      <c r="K187" s="681"/>
      <c r="L187" s="681">
        <f t="shared" si="96"/>
        <v>583763.94779999997</v>
      </c>
      <c r="M187" s="681">
        <f t="shared" si="98"/>
        <v>583763.94779999997</v>
      </c>
      <c r="N187" s="690"/>
    </row>
    <row r="188" spans="1:14">
      <c r="A188" s="767">
        <v>4.05</v>
      </c>
      <c r="B188" s="768" t="s">
        <v>448</v>
      </c>
      <c r="C188" s="767">
        <v>18</v>
      </c>
      <c r="D188" s="769" t="s">
        <v>222</v>
      </c>
      <c r="E188" s="770">
        <v>1282.6300000000001</v>
      </c>
      <c r="F188" s="770">
        <v>23087.3</v>
      </c>
      <c r="G188" s="677"/>
      <c r="H188" s="688">
        <f t="shared" si="97"/>
        <v>9</v>
      </c>
      <c r="I188" s="688">
        <f t="shared" si="94"/>
        <v>9</v>
      </c>
      <c r="J188" s="689">
        <f t="shared" si="95"/>
        <v>0.5</v>
      </c>
      <c r="K188" s="681"/>
      <c r="L188" s="681">
        <f t="shared" si="96"/>
        <v>11543.670000000002</v>
      </c>
      <c r="M188" s="681">
        <f t="shared" si="98"/>
        <v>11543.670000000002</v>
      </c>
      <c r="N188" s="690"/>
    </row>
    <row r="189" spans="1:14">
      <c r="A189" s="767">
        <v>4.0599999999999996</v>
      </c>
      <c r="B189" s="768" t="s">
        <v>449</v>
      </c>
      <c r="C189" s="767">
        <v>35</v>
      </c>
      <c r="D189" s="769" t="s">
        <v>222</v>
      </c>
      <c r="E189" s="770">
        <v>1441.41</v>
      </c>
      <c r="F189" s="770">
        <v>50449.36</v>
      </c>
      <c r="G189" s="677"/>
      <c r="H189" s="688">
        <f t="shared" si="97"/>
        <v>17.5</v>
      </c>
      <c r="I189" s="688">
        <f t="shared" si="94"/>
        <v>17.5</v>
      </c>
      <c r="J189" s="689">
        <f t="shared" si="95"/>
        <v>0.5</v>
      </c>
      <c r="K189" s="681"/>
      <c r="L189" s="681">
        <f t="shared" si="96"/>
        <v>25224.675000000003</v>
      </c>
      <c r="M189" s="681">
        <f t="shared" si="98"/>
        <v>25224.675000000003</v>
      </c>
      <c r="N189" s="690"/>
    </row>
    <row r="190" spans="1:14">
      <c r="A190" s="764"/>
      <c r="B190" s="771" t="s">
        <v>39</v>
      </c>
      <c r="C190" s="771"/>
      <c r="D190" s="772"/>
      <c r="E190" s="771"/>
      <c r="F190" s="773">
        <f>SUM(F184:F189)</f>
        <v>3405964.5399999996</v>
      </c>
      <c r="G190" s="677"/>
      <c r="H190" s="688"/>
      <c r="I190" s="688"/>
      <c r="J190" s="698"/>
      <c r="K190" s="703">
        <f>+SUBTOTAL(9,K184:K189)</f>
        <v>0</v>
      </c>
      <c r="L190" s="703">
        <f>+SUBTOTAL(9,L184:L189)</f>
        <v>1702981.8928</v>
      </c>
      <c r="M190" s="703">
        <f>+SUBTOTAL(9,M184:M189)</f>
        <v>1702981.8928</v>
      </c>
      <c r="N190" s="690"/>
    </row>
    <row r="191" spans="1:14">
      <c r="A191" s="766">
        <v>5</v>
      </c>
      <c r="B191" s="762" t="s">
        <v>450</v>
      </c>
      <c r="C191" s="763"/>
      <c r="D191" s="764"/>
      <c r="E191" s="763"/>
      <c r="F191" s="765"/>
      <c r="G191" s="677"/>
      <c r="H191" s="688"/>
      <c r="I191" s="688"/>
      <c r="J191" s="698"/>
      <c r="K191" s="681"/>
      <c r="L191" s="681"/>
      <c r="M191" s="681"/>
      <c r="N191" s="690"/>
    </row>
    <row r="192" spans="1:14">
      <c r="A192" s="767">
        <v>5.01</v>
      </c>
      <c r="B192" s="768" t="s">
        <v>451</v>
      </c>
      <c r="C192" s="767">
        <v>504</v>
      </c>
      <c r="D192" s="769" t="s">
        <v>222</v>
      </c>
      <c r="E192" s="770">
        <v>1800.51</v>
      </c>
      <c r="F192" s="770">
        <v>907457.04</v>
      </c>
      <c r="G192" s="677"/>
      <c r="H192" s="688">
        <f t="shared" ref="H192:H194" si="99">+C192*0.5</f>
        <v>252</v>
      </c>
      <c r="I192" s="688">
        <f t="shared" ref="I192:I194" si="100">G192+H192</f>
        <v>252</v>
      </c>
      <c r="J192" s="689">
        <f t="shared" ref="J192:J194" si="101">I192/C192</f>
        <v>0.5</v>
      </c>
      <c r="K192" s="681"/>
      <c r="L192" s="681">
        <f t="shared" ref="L192:L194" si="102">H192*E192</f>
        <v>453728.52</v>
      </c>
      <c r="M192" s="681">
        <f t="shared" ref="M192:M194" si="103">K192+L192</f>
        <v>453728.52</v>
      </c>
      <c r="N192" s="690"/>
    </row>
    <row r="193" spans="1:14">
      <c r="A193" s="767">
        <v>5.0199999999999996</v>
      </c>
      <c r="B193" s="768" t="s">
        <v>452</v>
      </c>
      <c r="C193" s="767">
        <v>235</v>
      </c>
      <c r="D193" s="769" t="s">
        <v>38</v>
      </c>
      <c r="E193" s="775">
        <v>277.51</v>
      </c>
      <c r="F193" s="770">
        <v>65214.85</v>
      </c>
      <c r="G193" s="677"/>
      <c r="H193" s="688">
        <f t="shared" si="99"/>
        <v>117.5</v>
      </c>
      <c r="I193" s="688">
        <f t="shared" si="100"/>
        <v>117.5</v>
      </c>
      <c r="J193" s="689">
        <f t="shared" si="101"/>
        <v>0.5</v>
      </c>
      <c r="K193" s="681"/>
      <c r="L193" s="681">
        <f t="shared" si="102"/>
        <v>32607.424999999999</v>
      </c>
      <c r="M193" s="681">
        <f t="shared" si="103"/>
        <v>32607.424999999999</v>
      </c>
      <c r="N193" s="690"/>
    </row>
    <row r="194" spans="1:14">
      <c r="A194" s="767">
        <v>5.03</v>
      </c>
      <c r="B194" s="768" t="s">
        <v>453</v>
      </c>
      <c r="C194" s="767">
        <v>35</v>
      </c>
      <c r="D194" s="769" t="s">
        <v>222</v>
      </c>
      <c r="E194" s="770">
        <v>1948.43</v>
      </c>
      <c r="F194" s="770">
        <v>68195.05</v>
      </c>
      <c r="G194" s="677"/>
      <c r="H194" s="688">
        <f t="shared" si="99"/>
        <v>17.5</v>
      </c>
      <c r="I194" s="688">
        <f t="shared" si="100"/>
        <v>17.5</v>
      </c>
      <c r="J194" s="689">
        <f t="shared" si="101"/>
        <v>0.5</v>
      </c>
      <c r="K194" s="681"/>
      <c r="L194" s="681">
        <f t="shared" si="102"/>
        <v>34097.525000000001</v>
      </c>
      <c r="M194" s="681">
        <f t="shared" si="103"/>
        <v>34097.525000000001</v>
      </c>
      <c r="N194" s="690"/>
    </row>
    <row r="195" spans="1:14">
      <c r="A195" s="764"/>
      <c r="B195" s="771" t="s">
        <v>39</v>
      </c>
      <c r="C195" s="771"/>
      <c r="D195" s="772"/>
      <c r="E195" s="771"/>
      <c r="F195" s="773">
        <f>SUM(F192:F194)</f>
        <v>1040866.9400000001</v>
      </c>
      <c r="G195" s="677"/>
      <c r="H195" s="688"/>
      <c r="I195" s="688"/>
      <c r="J195" s="698"/>
      <c r="K195" s="703">
        <f>+SUBTOTAL(9,K192:K194)</f>
        <v>0</v>
      </c>
      <c r="L195" s="703">
        <f>+SUBTOTAL(9,L192:L194)</f>
        <v>520433.47000000003</v>
      </c>
      <c r="M195" s="703">
        <f>+SUBTOTAL(9,M192:M194)</f>
        <v>520433.47000000003</v>
      </c>
      <c r="N195" s="690"/>
    </row>
    <row r="196" spans="1:14">
      <c r="A196" s="766">
        <v>6</v>
      </c>
      <c r="B196" s="762" t="s">
        <v>454</v>
      </c>
      <c r="C196" s="763"/>
      <c r="D196" s="764"/>
      <c r="E196" s="763"/>
      <c r="F196" s="765"/>
      <c r="G196" s="677"/>
      <c r="H196" s="688"/>
      <c r="I196" s="688"/>
      <c r="J196" s="698"/>
      <c r="K196" s="681"/>
      <c r="L196" s="681"/>
      <c r="M196" s="681"/>
      <c r="N196" s="690"/>
    </row>
    <row r="197" spans="1:14" ht="25.5">
      <c r="A197" s="767">
        <v>6.01</v>
      </c>
      <c r="B197" s="768" t="s">
        <v>455</v>
      </c>
      <c r="C197" s="767">
        <v>1</v>
      </c>
      <c r="D197" s="769" t="s">
        <v>52</v>
      </c>
      <c r="E197" s="770">
        <v>40655.199999999997</v>
      </c>
      <c r="F197" s="770">
        <v>40655.199999999997</v>
      </c>
      <c r="G197" s="677"/>
      <c r="H197" s="688"/>
      <c r="I197" s="688"/>
      <c r="J197" s="698"/>
      <c r="K197" s="681"/>
      <c r="L197" s="681"/>
      <c r="M197" s="681"/>
      <c r="N197" s="690"/>
    </row>
    <row r="198" spans="1:14">
      <c r="A198" s="767">
        <v>6.02</v>
      </c>
      <c r="B198" s="768" t="s">
        <v>456</v>
      </c>
      <c r="C198" s="767">
        <v>3</v>
      </c>
      <c r="D198" s="769" t="s">
        <v>52</v>
      </c>
      <c r="E198" s="770">
        <v>25259.82</v>
      </c>
      <c r="F198" s="770">
        <v>75779.460000000006</v>
      </c>
      <c r="G198" s="677"/>
      <c r="H198" s="688"/>
      <c r="I198" s="688"/>
      <c r="J198" s="698"/>
      <c r="K198" s="681"/>
      <c r="L198" s="681"/>
      <c r="M198" s="681"/>
      <c r="N198" s="690"/>
    </row>
    <row r="199" spans="1:14">
      <c r="A199" s="767">
        <v>6.03</v>
      </c>
      <c r="B199" s="768" t="s">
        <v>457</v>
      </c>
      <c r="C199" s="767">
        <v>1</v>
      </c>
      <c r="D199" s="769" t="s">
        <v>52</v>
      </c>
      <c r="E199" s="770">
        <v>19857.84</v>
      </c>
      <c r="F199" s="770">
        <v>19857.84</v>
      </c>
      <c r="G199" s="677"/>
      <c r="H199" s="688"/>
      <c r="I199" s="688"/>
      <c r="J199" s="698"/>
      <c r="K199" s="681"/>
      <c r="L199" s="681"/>
      <c r="M199" s="681"/>
      <c r="N199" s="690"/>
    </row>
    <row r="200" spans="1:14">
      <c r="A200" s="764"/>
      <c r="B200" s="771" t="s">
        <v>39</v>
      </c>
      <c r="C200" s="771"/>
      <c r="D200" s="772"/>
      <c r="E200" s="771"/>
      <c r="F200" s="773">
        <f>SUM(F197:F199)</f>
        <v>136292.5</v>
      </c>
      <c r="G200" s="677"/>
      <c r="H200" s="688"/>
      <c r="I200" s="688"/>
      <c r="J200" s="698"/>
      <c r="K200" s="681"/>
      <c r="L200" s="681"/>
      <c r="M200" s="681"/>
      <c r="N200" s="690"/>
    </row>
    <row r="201" spans="1:14">
      <c r="A201" s="766">
        <v>7</v>
      </c>
      <c r="B201" s="762" t="s">
        <v>458</v>
      </c>
      <c r="C201" s="763"/>
      <c r="D201" s="764"/>
      <c r="E201" s="763"/>
      <c r="F201" s="765"/>
      <c r="G201" s="677"/>
      <c r="H201" s="688"/>
      <c r="I201" s="688"/>
      <c r="J201" s="698"/>
      <c r="K201" s="681"/>
      <c r="L201" s="681"/>
      <c r="M201" s="681"/>
      <c r="N201" s="690"/>
    </row>
    <row r="202" spans="1:14" ht="25.5">
      <c r="A202" s="767">
        <v>7.01</v>
      </c>
      <c r="B202" s="768" t="s">
        <v>459</v>
      </c>
      <c r="C202" s="767">
        <v>10.34</v>
      </c>
      <c r="D202" s="769" t="s">
        <v>446</v>
      </c>
      <c r="E202" s="775">
        <v>882.05</v>
      </c>
      <c r="F202" s="770">
        <v>9120.4</v>
      </c>
      <c r="G202" s="677"/>
      <c r="H202" s="688"/>
      <c r="I202" s="688"/>
      <c r="J202" s="698"/>
      <c r="K202" s="681"/>
      <c r="L202" s="681"/>
      <c r="M202" s="681"/>
      <c r="N202" s="690"/>
    </row>
    <row r="203" spans="1:14">
      <c r="A203" s="764"/>
      <c r="B203" s="771" t="s">
        <v>39</v>
      </c>
      <c r="C203" s="771"/>
      <c r="D203" s="772"/>
      <c r="E203" s="771"/>
      <c r="F203" s="773">
        <f>F202</f>
        <v>9120.4</v>
      </c>
      <c r="G203" s="677"/>
      <c r="H203" s="688"/>
      <c r="I203" s="688"/>
      <c r="J203" s="698"/>
      <c r="K203" s="681"/>
      <c r="L203" s="681"/>
      <c r="M203" s="681"/>
      <c r="N203" s="690"/>
    </row>
    <row r="204" spans="1:14">
      <c r="A204" s="766">
        <v>8</v>
      </c>
      <c r="B204" s="762" t="s">
        <v>460</v>
      </c>
      <c r="C204" s="763"/>
      <c r="D204" s="764"/>
      <c r="E204" s="763"/>
      <c r="F204" s="765"/>
      <c r="G204" s="677"/>
      <c r="H204" s="688"/>
      <c r="I204" s="688"/>
      <c r="J204" s="698"/>
      <c r="K204" s="681"/>
      <c r="L204" s="681"/>
      <c r="M204" s="681"/>
      <c r="N204" s="690"/>
    </row>
    <row r="205" spans="1:14">
      <c r="A205" s="767">
        <v>8.01</v>
      </c>
      <c r="B205" s="768" t="s">
        <v>461</v>
      </c>
      <c r="C205" s="767">
        <v>14.96</v>
      </c>
      <c r="D205" s="769" t="s">
        <v>38</v>
      </c>
      <c r="E205" s="770">
        <v>2764.21</v>
      </c>
      <c r="F205" s="770">
        <v>41352.58</v>
      </c>
      <c r="G205" s="677"/>
      <c r="H205" s="688"/>
      <c r="I205" s="688"/>
      <c r="J205" s="698"/>
      <c r="K205" s="681"/>
      <c r="L205" s="681"/>
      <c r="M205" s="681"/>
      <c r="N205" s="690"/>
    </row>
    <row r="206" spans="1:14">
      <c r="A206" s="767">
        <v>8.02</v>
      </c>
      <c r="B206" s="768" t="s">
        <v>462</v>
      </c>
      <c r="C206" s="767">
        <v>4</v>
      </c>
      <c r="D206" s="769" t="s">
        <v>222</v>
      </c>
      <c r="E206" s="770">
        <v>1800.51</v>
      </c>
      <c r="F206" s="770">
        <v>7202.04</v>
      </c>
      <c r="G206" s="677"/>
      <c r="H206" s="688"/>
      <c r="I206" s="688"/>
      <c r="J206" s="698"/>
      <c r="K206" s="681"/>
      <c r="L206" s="681"/>
      <c r="M206" s="681"/>
      <c r="N206" s="690"/>
    </row>
    <row r="207" spans="1:14">
      <c r="A207" s="764"/>
      <c r="B207" s="771" t="s">
        <v>39</v>
      </c>
      <c r="C207" s="771"/>
      <c r="D207" s="772"/>
      <c r="E207" s="771"/>
      <c r="F207" s="773">
        <f>SUM(F205:F206)</f>
        <v>48554.62</v>
      </c>
      <c r="G207" s="677"/>
      <c r="H207" s="688"/>
      <c r="I207" s="688"/>
      <c r="J207" s="698"/>
      <c r="K207" s="681"/>
      <c r="L207" s="681"/>
      <c r="M207" s="681"/>
      <c r="N207" s="690"/>
    </row>
    <row r="208" spans="1:14">
      <c r="A208" s="766">
        <v>9</v>
      </c>
      <c r="B208" s="762" t="s">
        <v>463</v>
      </c>
      <c r="C208" s="763"/>
      <c r="D208" s="764"/>
      <c r="E208" s="763"/>
      <c r="F208" s="765"/>
      <c r="G208" s="677"/>
      <c r="H208" s="688"/>
      <c r="I208" s="688"/>
      <c r="J208" s="698"/>
      <c r="K208" s="681"/>
      <c r="L208" s="681"/>
      <c r="M208" s="681"/>
      <c r="N208" s="690"/>
    </row>
    <row r="209" spans="1:14">
      <c r="A209" s="767">
        <v>9.01</v>
      </c>
      <c r="B209" s="768" t="s">
        <v>464</v>
      </c>
      <c r="C209" s="774">
        <v>1383.68</v>
      </c>
      <c r="D209" s="769" t="s">
        <v>222</v>
      </c>
      <c r="E209" s="775">
        <v>300.42</v>
      </c>
      <c r="F209" s="770">
        <v>415685.15</v>
      </c>
      <c r="G209" s="677"/>
      <c r="H209" s="688"/>
      <c r="I209" s="688"/>
      <c r="J209" s="698"/>
      <c r="K209" s="681"/>
      <c r="L209" s="681"/>
      <c r="M209" s="681"/>
      <c r="N209" s="690"/>
    </row>
    <row r="210" spans="1:14">
      <c r="A210" s="764"/>
      <c r="B210" s="771" t="s">
        <v>39</v>
      </c>
      <c r="C210" s="771"/>
      <c r="D210" s="772"/>
      <c r="E210" s="771"/>
      <c r="F210" s="773">
        <f>F209</f>
        <v>415685.15</v>
      </c>
      <c r="G210" s="677"/>
      <c r="H210" s="688"/>
      <c r="I210" s="688"/>
      <c r="J210" s="698"/>
      <c r="K210" s="681"/>
      <c r="L210" s="681"/>
      <c r="M210" s="681"/>
      <c r="N210" s="690"/>
    </row>
    <row r="211" spans="1:14">
      <c r="A211" s="766">
        <v>10</v>
      </c>
      <c r="B211" s="762" t="s">
        <v>465</v>
      </c>
      <c r="C211" s="763"/>
      <c r="D211" s="764"/>
      <c r="E211" s="763"/>
      <c r="F211" s="765"/>
      <c r="G211" s="677"/>
      <c r="H211" s="688"/>
      <c r="I211" s="688"/>
      <c r="J211" s="698"/>
      <c r="K211" s="681"/>
      <c r="L211" s="681"/>
      <c r="M211" s="681"/>
      <c r="N211" s="690"/>
    </row>
    <row r="212" spans="1:14">
      <c r="A212" s="767">
        <v>10.01</v>
      </c>
      <c r="B212" s="768" t="s">
        <v>466</v>
      </c>
      <c r="C212" s="763"/>
      <c r="D212" s="764"/>
      <c r="E212" s="763"/>
      <c r="F212" s="765"/>
      <c r="G212" s="677"/>
      <c r="H212" s="688"/>
      <c r="I212" s="688"/>
      <c r="J212" s="698"/>
      <c r="K212" s="681"/>
      <c r="L212" s="681"/>
      <c r="M212" s="681"/>
      <c r="N212" s="690"/>
    </row>
    <row r="213" spans="1:14">
      <c r="A213" s="767">
        <v>10.02</v>
      </c>
      <c r="B213" s="768" t="s">
        <v>467</v>
      </c>
      <c r="C213" s="767">
        <v>5.4</v>
      </c>
      <c r="D213" s="769" t="s">
        <v>222</v>
      </c>
      <c r="E213" s="770">
        <v>6543.33</v>
      </c>
      <c r="F213" s="770">
        <v>35334</v>
      </c>
      <c r="G213" s="677"/>
      <c r="H213" s="688">
        <f t="shared" ref="H213:H224" si="104">+C213*0.5</f>
        <v>2.7</v>
      </c>
      <c r="I213" s="688">
        <f t="shared" ref="I213:I224" si="105">G213+H213</f>
        <v>2.7</v>
      </c>
      <c r="J213" s="689">
        <f t="shared" ref="J213:J224" si="106">I213/C213</f>
        <v>0.5</v>
      </c>
      <c r="K213" s="681"/>
      <c r="L213" s="681">
        <f t="shared" ref="L213:L224" si="107">H213*E213</f>
        <v>17666.991000000002</v>
      </c>
      <c r="M213" s="681">
        <f t="shared" ref="M213:M224" si="108">K213+L213</f>
        <v>17666.991000000002</v>
      </c>
      <c r="N213" s="690"/>
    </row>
    <row r="214" spans="1:14">
      <c r="A214" s="767">
        <v>10.029999999999999</v>
      </c>
      <c r="B214" s="768" t="s">
        <v>468</v>
      </c>
      <c r="C214" s="767">
        <v>6</v>
      </c>
      <c r="D214" s="769" t="s">
        <v>52</v>
      </c>
      <c r="E214" s="770">
        <v>10994.43</v>
      </c>
      <c r="F214" s="770">
        <v>65966.58</v>
      </c>
      <c r="G214" s="677"/>
      <c r="H214" s="688">
        <f t="shared" si="104"/>
        <v>3</v>
      </c>
      <c r="I214" s="688">
        <f t="shared" si="105"/>
        <v>3</v>
      </c>
      <c r="J214" s="689">
        <f t="shared" si="106"/>
        <v>0.5</v>
      </c>
      <c r="K214" s="681"/>
      <c r="L214" s="681">
        <f t="shared" si="107"/>
        <v>32983.29</v>
      </c>
      <c r="M214" s="681">
        <f t="shared" si="108"/>
        <v>32983.29</v>
      </c>
      <c r="N214" s="690"/>
    </row>
    <row r="215" spans="1:14">
      <c r="A215" s="767">
        <v>10.039999999999999</v>
      </c>
      <c r="B215" s="768" t="s">
        <v>469</v>
      </c>
      <c r="C215" s="767">
        <v>8</v>
      </c>
      <c r="D215" s="769" t="s">
        <v>52</v>
      </c>
      <c r="E215" s="770">
        <v>12551.71</v>
      </c>
      <c r="F215" s="770">
        <v>100413.68</v>
      </c>
      <c r="G215" s="677"/>
      <c r="H215" s="688">
        <f t="shared" si="104"/>
        <v>4</v>
      </c>
      <c r="I215" s="688">
        <f t="shared" si="105"/>
        <v>4</v>
      </c>
      <c r="J215" s="689">
        <f t="shared" si="106"/>
        <v>0.5</v>
      </c>
      <c r="K215" s="681"/>
      <c r="L215" s="681">
        <f t="shared" si="107"/>
        <v>50206.84</v>
      </c>
      <c r="M215" s="681">
        <f t="shared" si="108"/>
        <v>50206.84</v>
      </c>
      <c r="N215" s="690"/>
    </row>
    <row r="216" spans="1:14">
      <c r="A216" s="767">
        <v>10.050000000000001</v>
      </c>
      <c r="B216" s="768" t="s">
        <v>470</v>
      </c>
      <c r="C216" s="767">
        <v>2</v>
      </c>
      <c r="D216" s="769" t="s">
        <v>52</v>
      </c>
      <c r="E216" s="770">
        <v>2783.77</v>
      </c>
      <c r="F216" s="770">
        <v>5567.54</v>
      </c>
      <c r="G216" s="677"/>
      <c r="H216" s="688">
        <f t="shared" si="104"/>
        <v>1</v>
      </c>
      <c r="I216" s="688">
        <f t="shared" si="105"/>
        <v>1</v>
      </c>
      <c r="J216" s="689">
        <f t="shared" si="106"/>
        <v>0.5</v>
      </c>
      <c r="K216" s="681"/>
      <c r="L216" s="681">
        <f t="shared" si="107"/>
        <v>2783.77</v>
      </c>
      <c r="M216" s="681">
        <f t="shared" si="108"/>
        <v>2783.77</v>
      </c>
      <c r="N216" s="690"/>
    </row>
    <row r="217" spans="1:14">
      <c r="A217" s="767">
        <v>10.06</v>
      </c>
      <c r="B217" s="768" t="s">
        <v>471</v>
      </c>
      <c r="C217" s="767">
        <v>2</v>
      </c>
      <c r="D217" s="769" t="s">
        <v>52</v>
      </c>
      <c r="E217" s="770">
        <v>10709.95</v>
      </c>
      <c r="F217" s="770">
        <v>21419.9</v>
      </c>
      <c r="G217" s="677"/>
      <c r="H217" s="688">
        <f t="shared" si="104"/>
        <v>1</v>
      </c>
      <c r="I217" s="688">
        <f t="shared" si="105"/>
        <v>1</v>
      </c>
      <c r="J217" s="689">
        <f t="shared" si="106"/>
        <v>0.5</v>
      </c>
      <c r="K217" s="681"/>
      <c r="L217" s="681">
        <f t="shared" si="107"/>
        <v>10709.95</v>
      </c>
      <c r="M217" s="681">
        <f t="shared" si="108"/>
        <v>10709.95</v>
      </c>
      <c r="N217" s="690"/>
    </row>
    <row r="218" spans="1:14">
      <c r="A218" s="767">
        <v>10.07</v>
      </c>
      <c r="B218" s="768" t="s">
        <v>489</v>
      </c>
      <c r="C218" s="767">
        <v>1</v>
      </c>
      <c r="D218" s="769" t="s">
        <v>52</v>
      </c>
      <c r="E218" s="770">
        <v>2239.4499999999998</v>
      </c>
      <c r="F218" s="770">
        <v>2239.4499999999998</v>
      </c>
      <c r="G218" s="677"/>
      <c r="H218" s="688">
        <f t="shared" si="104"/>
        <v>0.5</v>
      </c>
      <c r="I218" s="688">
        <f t="shared" si="105"/>
        <v>0.5</v>
      </c>
      <c r="J218" s="689">
        <f t="shared" si="106"/>
        <v>0.5</v>
      </c>
      <c r="K218" s="681"/>
      <c r="L218" s="681">
        <f t="shared" si="107"/>
        <v>1119.7249999999999</v>
      </c>
      <c r="M218" s="681">
        <f t="shared" si="108"/>
        <v>1119.7249999999999</v>
      </c>
      <c r="N218" s="690"/>
    </row>
    <row r="219" spans="1:14">
      <c r="A219" s="767">
        <v>10.08</v>
      </c>
      <c r="B219" s="786" t="s">
        <v>473</v>
      </c>
      <c r="C219" s="767">
        <v>1</v>
      </c>
      <c r="D219" s="769" t="s">
        <v>55</v>
      </c>
      <c r="E219" s="787">
        <v>135000</v>
      </c>
      <c r="F219" s="787">
        <v>135000</v>
      </c>
      <c r="G219" s="677"/>
      <c r="H219" s="688">
        <f t="shared" si="104"/>
        <v>0.5</v>
      </c>
      <c r="I219" s="688">
        <f t="shared" si="105"/>
        <v>0.5</v>
      </c>
      <c r="J219" s="689">
        <f t="shared" si="106"/>
        <v>0.5</v>
      </c>
      <c r="K219" s="681"/>
      <c r="L219" s="681">
        <f t="shared" si="107"/>
        <v>67500</v>
      </c>
      <c r="M219" s="681">
        <f t="shared" si="108"/>
        <v>67500</v>
      </c>
      <c r="N219" s="690"/>
    </row>
    <row r="220" spans="1:14">
      <c r="A220" s="767">
        <v>10.09</v>
      </c>
      <c r="B220" s="768" t="s">
        <v>474</v>
      </c>
      <c r="C220" s="763"/>
      <c r="D220" s="764"/>
      <c r="E220" s="763"/>
      <c r="F220" s="765"/>
      <c r="G220" s="677"/>
      <c r="H220" s="688"/>
      <c r="I220" s="688"/>
      <c r="J220" s="689"/>
      <c r="K220" s="681"/>
      <c r="L220" s="681"/>
      <c r="M220" s="681"/>
      <c r="N220" s="690"/>
    </row>
    <row r="221" spans="1:14">
      <c r="A221" s="767">
        <v>10.1</v>
      </c>
      <c r="B221" s="768" t="s">
        <v>475</v>
      </c>
      <c r="C221" s="767">
        <v>10</v>
      </c>
      <c r="D221" s="769" t="s">
        <v>330</v>
      </c>
      <c r="E221" s="770">
        <v>2955</v>
      </c>
      <c r="F221" s="770">
        <v>29550</v>
      </c>
      <c r="G221" s="677"/>
      <c r="H221" s="688">
        <f t="shared" si="104"/>
        <v>5</v>
      </c>
      <c r="I221" s="688">
        <f t="shared" si="105"/>
        <v>5</v>
      </c>
      <c r="J221" s="689">
        <f t="shared" si="106"/>
        <v>0.5</v>
      </c>
      <c r="K221" s="681"/>
      <c r="L221" s="681">
        <f t="shared" si="107"/>
        <v>14775</v>
      </c>
      <c r="M221" s="681">
        <f t="shared" si="108"/>
        <v>14775</v>
      </c>
      <c r="N221" s="690"/>
    </row>
    <row r="222" spans="1:14">
      <c r="A222" s="767">
        <v>10.11</v>
      </c>
      <c r="B222" s="768" t="s">
        <v>467</v>
      </c>
      <c r="C222" s="767">
        <v>1.2</v>
      </c>
      <c r="D222" s="769" t="s">
        <v>222</v>
      </c>
      <c r="E222" s="770">
        <v>6790</v>
      </c>
      <c r="F222" s="770">
        <v>8148</v>
      </c>
      <c r="G222" s="677"/>
      <c r="H222" s="688">
        <f t="shared" si="104"/>
        <v>0.6</v>
      </c>
      <c r="I222" s="688">
        <f t="shared" si="105"/>
        <v>0.6</v>
      </c>
      <c r="J222" s="689">
        <f t="shared" si="106"/>
        <v>0.5</v>
      </c>
      <c r="K222" s="681"/>
      <c r="L222" s="681">
        <f t="shared" si="107"/>
        <v>4074</v>
      </c>
      <c r="M222" s="681">
        <f t="shared" si="108"/>
        <v>4074</v>
      </c>
      <c r="N222" s="690"/>
    </row>
    <row r="223" spans="1:14">
      <c r="A223" s="788">
        <v>10.119999999999999</v>
      </c>
      <c r="B223" s="768" t="s">
        <v>476</v>
      </c>
      <c r="C223" s="767">
        <v>1</v>
      </c>
      <c r="D223" s="769" t="s">
        <v>52</v>
      </c>
      <c r="E223" s="770">
        <v>14106.81</v>
      </c>
      <c r="F223" s="770">
        <v>14106.81</v>
      </c>
      <c r="G223" s="677"/>
      <c r="H223" s="688">
        <f t="shared" si="104"/>
        <v>0.5</v>
      </c>
      <c r="I223" s="688">
        <f t="shared" si="105"/>
        <v>0.5</v>
      </c>
      <c r="J223" s="689">
        <f t="shared" si="106"/>
        <v>0.5</v>
      </c>
      <c r="K223" s="681"/>
      <c r="L223" s="681">
        <f t="shared" si="107"/>
        <v>7053.4049999999997</v>
      </c>
      <c r="M223" s="681">
        <f t="shared" si="108"/>
        <v>7053.4049999999997</v>
      </c>
      <c r="N223" s="690"/>
    </row>
    <row r="224" spans="1:14">
      <c r="A224" s="767">
        <v>10.130000000000001</v>
      </c>
      <c r="B224" s="768" t="s">
        <v>489</v>
      </c>
      <c r="C224" s="767">
        <v>1</v>
      </c>
      <c r="D224" s="769" t="s">
        <v>52</v>
      </c>
      <c r="E224" s="770">
        <v>2239.4499999999998</v>
      </c>
      <c r="F224" s="770">
        <v>2239.4499999999998</v>
      </c>
      <c r="G224" s="677"/>
      <c r="H224" s="688">
        <f t="shared" si="104"/>
        <v>0.5</v>
      </c>
      <c r="I224" s="688">
        <f t="shared" si="105"/>
        <v>0.5</v>
      </c>
      <c r="J224" s="689">
        <f t="shared" si="106"/>
        <v>0.5</v>
      </c>
      <c r="K224" s="681"/>
      <c r="L224" s="681">
        <f t="shared" si="107"/>
        <v>1119.7249999999999</v>
      </c>
      <c r="M224" s="681">
        <f t="shared" si="108"/>
        <v>1119.7249999999999</v>
      </c>
      <c r="N224" s="690"/>
    </row>
    <row r="225" spans="1:14">
      <c r="A225" s="764"/>
      <c r="B225" s="771" t="s">
        <v>39</v>
      </c>
      <c r="C225" s="771"/>
      <c r="D225" s="772"/>
      <c r="E225" s="771"/>
      <c r="F225" s="773">
        <f>SUM(F213:F224)</f>
        <v>419985.41000000003</v>
      </c>
      <c r="G225" s="677"/>
      <c r="H225" s="688"/>
      <c r="I225" s="688"/>
      <c r="J225" s="698"/>
      <c r="K225" s="703">
        <f>+SUBTOTAL(9,K213:K224)</f>
        <v>0</v>
      </c>
      <c r="L225" s="703">
        <f>+SUBTOTAL(9,L213:L224)</f>
        <v>209992.696</v>
      </c>
      <c r="M225" s="703">
        <f>+SUBTOTAL(9,M213:M224)</f>
        <v>209992.696</v>
      </c>
      <c r="N225" s="690"/>
    </row>
    <row r="226" spans="1:14">
      <c r="A226" s="766">
        <v>11</v>
      </c>
      <c r="B226" s="762" t="s">
        <v>478</v>
      </c>
      <c r="C226" s="763"/>
      <c r="D226" s="764"/>
      <c r="E226" s="763"/>
      <c r="F226" s="765"/>
      <c r="G226" s="677"/>
      <c r="H226" s="688"/>
      <c r="I226" s="688"/>
      <c r="J226" s="698"/>
      <c r="K226" s="681"/>
      <c r="L226" s="681"/>
      <c r="M226" s="681"/>
      <c r="N226" s="690"/>
    </row>
    <row r="227" spans="1:14">
      <c r="A227" s="767">
        <v>11.01</v>
      </c>
      <c r="B227" s="768" t="s">
        <v>479</v>
      </c>
      <c r="C227" s="767">
        <v>50</v>
      </c>
      <c r="D227" s="769" t="s">
        <v>52</v>
      </c>
      <c r="E227" s="770">
        <v>1473.68</v>
      </c>
      <c r="F227" s="770">
        <v>73684</v>
      </c>
      <c r="G227" s="677"/>
      <c r="H227" s="688">
        <f t="shared" ref="H227:H235" si="109">+C227*0.5</f>
        <v>25</v>
      </c>
      <c r="I227" s="688">
        <f t="shared" ref="I227:I235" si="110">G227+H227</f>
        <v>25</v>
      </c>
      <c r="J227" s="689">
        <f t="shared" ref="J227:J235" si="111">I227/C227</f>
        <v>0.5</v>
      </c>
      <c r="K227" s="681"/>
      <c r="L227" s="681">
        <f t="shared" ref="L227:L235" si="112">H227*E227</f>
        <v>36842</v>
      </c>
      <c r="M227" s="681">
        <f t="shared" ref="M227:M235" si="113">K227+L227</f>
        <v>36842</v>
      </c>
      <c r="N227" s="690"/>
    </row>
    <row r="228" spans="1:14">
      <c r="A228" s="767">
        <v>11.02</v>
      </c>
      <c r="B228" s="768" t="s">
        <v>480</v>
      </c>
      <c r="C228" s="767">
        <v>12</v>
      </c>
      <c r="D228" s="769" t="s">
        <v>52</v>
      </c>
      <c r="E228" s="770">
        <v>1586.98</v>
      </c>
      <c r="F228" s="770">
        <v>19043.71</v>
      </c>
      <c r="G228" s="677"/>
      <c r="H228" s="688">
        <f t="shared" si="109"/>
        <v>6</v>
      </c>
      <c r="I228" s="688">
        <f t="shared" si="110"/>
        <v>6</v>
      </c>
      <c r="J228" s="689">
        <f t="shared" si="111"/>
        <v>0.5</v>
      </c>
      <c r="K228" s="681"/>
      <c r="L228" s="681">
        <f t="shared" si="112"/>
        <v>9521.880000000001</v>
      </c>
      <c r="M228" s="681">
        <f t="shared" si="113"/>
        <v>9521.880000000001</v>
      </c>
      <c r="N228" s="690"/>
    </row>
    <row r="229" spans="1:14">
      <c r="A229" s="767">
        <v>11.03</v>
      </c>
      <c r="B229" s="768" t="s">
        <v>481</v>
      </c>
      <c r="C229" s="767">
        <v>2</v>
      </c>
      <c r="D229" s="769" t="s">
        <v>52</v>
      </c>
      <c r="E229" s="770">
        <v>2082.37</v>
      </c>
      <c r="F229" s="770">
        <v>4164.74</v>
      </c>
      <c r="G229" s="677"/>
      <c r="H229" s="688">
        <f t="shared" si="109"/>
        <v>1</v>
      </c>
      <c r="I229" s="688">
        <f t="shared" si="110"/>
        <v>1</v>
      </c>
      <c r="J229" s="689">
        <f t="shared" si="111"/>
        <v>0.5</v>
      </c>
      <c r="K229" s="681"/>
      <c r="L229" s="681">
        <f t="shared" si="112"/>
        <v>2082.37</v>
      </c>
      <c r="M229" s="681">
        <f t="shared" si="113"/>
        <v>2082.37</v>
      </c>
      <c r="N229" s="690"/>
    </row>
    <row r="230" spans="1:14">
      <c r="A230" s="767">
        <v>11.04</v>
      </c>
      <c r="B230" s="768" t="s">
        <v>482</v>
      </c>
      <c r="C230" s="767">
        <v>1</v>
      </c>
      <c r="D230" s="769" t="s">
        <v>52</v>
      </c>
      <c r="E230" s="770">
        <v>2452.84</v>
      </c>
      <c r="F230" s="770">
        <v>2452.84</v>
      </c>
      <c r="G230" s="677"/>
      <c r="H230" s="688">
        <f t="shared" si="109"/>
        <v>0.5</v>
      </c>
      <c r="I230" s="688">
        <f t="shared" si="110"/>
        <v>0.5</v>
      </c>
      <c r="J230" s="689">
        <f t="shared" si="111"/>
        <v>0.5</v>
      </c>
      <c r="K230" s="681"/>
      <c r="L230" s="681">
        <f t="shared" si="112"/>
        <v>1226.42</v>
      </c>
      <c r="M230" s="681">
        <f t="shared" si="113"/>
        <v>1226.42</v>
      </c>
      <c r="N230" s="690"/>
    </row>
    <row r="231" spans="1:14">
      <c r="A231" s="767">
        <v>11.05</v>
      </c>
      <c r="B231" s="768" t="s">
        <v>483</v>
      </c>
      <c r="C231" s="767">
        <v>2</v>
      </c>
      <c r="D231" s="769" t="s">
        <v>52</v>
      </c>
      <c r="E231" s="770">
        <v>1944.31</v>
      </c>
      <c r="F231" s="770">
        <v>3888.62</v>
      </c>
      <c r="G231" s="677"/>
      <c r="H231" s="688">
        <f t="shared" si="109"/>
        <v>1</v>
      </c>
      <c r="I231" s="688">
        <f t="shared" si="110"/>
        <v>1</v>
      </c>
      <c r="J231" s="689">
        <f t="shared" si="111"/>
        <v>0.5</v>
      </c>
      <c r="K231" s="681"/>
      <c r="L231" s="681">
        <f t="shared" si="112"/>
        <v>1944.31</v>
      </c>
      <c r="M231" s="681">
        <f t="shared" si="113"/>
        <v>1944.31</v>
      </c>
      <c r="N231" s="690"/>
    </row>
    <row r="232" spans="1:14">
      <c r="A232" s="767">
        <v>11.06</v>
      </c>
      <c r="B232" s="768" t="s">
        <v>484</v>
      </c>
      <c r="C232" s="767">
        <v>60</v>
      </c>
      <c r="D232" s="769" t="s">
        <v>52</v>
      </c>
      <c r="E232" s="770">
        <v>1859.58</v>
      </c>
      <c r="F232" s="770">
        <v>111574.8</v>
      </c>
      <c r="G232" s="677"/>
      <c r="H232" s="688">
        <f t="shared" si="109"/>
        <v>30</v>
      </c>
      <c r="I232" s="688">
        <f t="shared" si="110"/>
        <v>30</v>
      </c>
      <c r="J232" s="689">
        <f t="shared" si="111"/>
        <v>0.5</v>
      </c>
      <c r="K232" s="681"/>
      <c r="L232" s="681">
        <f t="shared" si="112"/>
        <v>55787.399999999994</v>
      </c>
      <c r="M232" s="681">
        <f t="shared" si="113"/>
        <v>55787.399999999994</v>
      </c>
      <c r="N232" s="690"/>
    </row>
    <row r="233" spans="1:14">
      <c r="A233" s="767">
        <v>11.07</v>
      </c>
      <c r="B233" s="768" t="s">
        <v>485</v>
      </c>
      <c r="C233" s="767">
        <v>15</v>
      </c>
      <c r="D233" s="769" t="s">
        <v>52</v>
      </c>
      <c r="E233" s="770">
        <v>3945.79</v>
      </c>
      <c r="F233" s="770">
        <v>59186.85</v>
      </c>
      <c r="G233" s="677"/>
      <c r="H233" s="688">
        <f t="shared" si="109"/>
        <v>7.5</v>
      </c>
      <c r="I233" s="688">
        <f t="shared" si="110"/>
        <v>7.5</v>
      </c>
      <c r="J233" s="689">
        <f t="shared" si="111"/>
        <v>0.5</v>
      </c>
      <c r="K233" s="681"/>
      <c r="L233" s="681">
        <f t="shared" si="112"/>
        <v>29593.424999999999</v>
      </c>
      <c r="M233" s="681">
        <f t="shared" si="113"/>
        <v>29593.424999999999</v>
      </c>
      <c r="N233" s="690"/>
    </row>
    <row r="234" spans="1:14">
      <c r="A234" s="767">
        <v>11.08</v>
      </c>
      <c r="B234" s="768" t="s">
        <v>486</v>
      </c>
      <c r="C234" s="767">
        <v>44</v>
      </c>
      <c r="D234" s="769" t="s">
        <v>52</v>
      </c>
      <c r="E234" s="770">
        <v>1368.29</v>
      </c>
      <c r="F234" s="770">
        <v>60204.76</v>
      </c>
      <c r="G234" s="677"/>
      <c r="H234" s="688">
        <f t="shared" si="109"/>
        <v>22</v>
      </c>
      <c r="I234" s="688">
        <f t="shared" si="110"/>
        <v>22</v>
      </c>
      <c r="J234" s="689">
        <f t="shared" si="111"/>
        <v>0.5</v>
      </c>
      <c r="K234" s="681"/>
      <c r="L234" s="681">
        <f t="shared" si="112"/>
        <v>30102.379999999997</v>
      </c>
      <c r="M234" s="681">
        <f t="shared" si="113"/>
        <v>30102.379999999997</v>
      </c>
      <c r="N234" s="690"/>
    </row>
    <row r="235" spans="1:14">
      <c r="A235" s="776">
        <v>11.09</v>
      </c>
      <c r="B235" s="777" t="s">
        <v>487</v>
      </c>
      <c r="C235" s="776">
        <v>1</v>
      </c>
      <c r="D235" s="778" t="s">
        <v>52</v>
      </c>
      <c r="E235" s="779">
        <v>16939.810000000001</v>
      </c>
      <c r="F235" s="779">
        <v>16939.810000000001</v>
      </c>
      <c r="G235" s="677"/>
      <c r="H235" s="688">
        <f t="shared" si="109"/>
        <v>0.5</v>
      </c>
      <c r="I235" s="688">
        <f t="shared" si="110"/>
        <v>0.5</v>
      </c>
      <c r="J235" s="689">
        <f t="shared" si="111"/>
        <v>0.5</v>
      </c>
      <c r="K235" s="681"/>
      <c r="L235" s="681">
        <f t="shared" si="112"/>
        <v>8469.9050000000007</v>
      </c>
      <c r="M235" s="681">
        <f t="shared" si="113"/>
        <v>8469.9050000000007</v>
      </c>
      <c r="N235" s="690"/>
    </row>
    <row r="236" spans="1:14">
      <c r="A236" s="752"/>
      <c r="B236" s="756" t="s">
        <v>39</v>
      </c>
      <c r="C236" s="757"/>
      <c r="D236" s="758"/>
      <c r="E236" s="759"/>
      <c r="F236" s="760">
        <f>SUM(F227:F235)</f>
        <v>351140.13</v>
      </c>
      <c r="G236" s="677"/>
      <c r="H236" s="688"/>
      <c r="I236" s="688"/>
      <c r="J236" s="698"/>
      <c r="K236" s="703">
        <f>+SUBTOTAL(9,K227:K235)</f>
        <v>0</v>
      </c>
      <c r="L236" s="703">
        <f>+SUBTOTAL(9,L227:L235)</f>
        <v>175570.09</v>
      </c>
      <c r="M236" s="703">
        <f>+SUBTOTAL(9,M227:M235)</f>
        <v>175570.09</v>
      </c>
      <c r="N236" s="690"/>
    </row>
    <row r="237" spans="1:14">
      <c r="A237" s="780" t="s">
        <v>71</v>
      </c>
      <c r="B237" s="781" t="s">
        <v>491</v>
      </c>
      <c r="C237" s="782"/>
      <c r="D237" s="783"/>
      <c r="E237" s="782"/>
      <c r="F237" s="784"/>
      <c r="G237" s="677"/>
      <c r="H237" s="688"/>
      <c r="I237" s="688"/>
      <c r="J237" s="698"/>
      <c r="K237" s="681"/>
      <c r="L237" s="681"/>
      <c r="M237" s="681"/>
      <c r="N237" s="690"/>
    </row>
    <row r="238" spans="1:14">
      <c r="A238" s="766">
        <v>1</v>
      </c>
      <c r="B238" s="762" t="s">
        <v>426</v>
      </c>
      <c r="C238" s="763"/>
      <c r="D238" s="764"/>
      <c r="E238" s="763"/>
      <c r="F238" s="765"/>
      <c r="G238" s="677"/>
      <c r="H238" s="688"/>
      <c r="I238" s="688"/>
      <c r="J238" s="698"/>
      <c r="K238" s="681"/>
      <c r="L238" s="681"/>
      <c r="M238" s="681"/>
      <c r="N238" s="690"/>
    </row>
    <row r="239" spans="1:14">
      <c r="A239" s="767">
        <v>1.01</v>
      </c>
      <c r="B239" s="768" t="s">
        <v>429</v>
      </c>
      <c r="C239" s="767">
        <v>10.53</v>
      </c>
      <c r="D239" s="769" t="s">
        <v>45</v>
      </c>
      <c r="E239" s="770">
        <v>28921.24</v>
      </c>
      <c r="F239" s="770">
        <v>304540.65999999997</v>
      </c>
      <c r="G239" s="677"/>
      <c r="H239" s="688">
        <f>+C239*0.75</f>
        <v>7.8974999999999991</v>
      </c>
      <c r="I239" s="688">
        <f t="shared" ref="I239:I243" si="114">G239+H239</f>
        <v>7.8974999999999991</v>
      </c>
      <c r="J239" s="689">
        <f t="shared" ref="J239:J243" si="115">I239/C239</f>
        <v>0.75</v>
      </c>
      <c r="K239" s="681"/>
      <c r="L239" s="681">
        <f t="shared" ref="L239:L243" si="116">H239*E239</f>
        <v>228405.49289999998</v>
      </c>
      <c r="M239" s="681">
        <f t="shared" ref="M239:M243" si="117">K239+L239</f>
        <v>228405.49289999998</v>
      </c>
      <c r="N239" s="690"/>
    </row>
    <row r="240" spans="1:14">
      <c r="A240" s="767">
        <v>1.02</v>
      </c>
      <c r="B240" s="768" t="s">
        <v>431</v>
      </c>
      <c r="C240" s="767">
        <v>56.47</v>
      </c>
      <c r="D240" s="769" t="s">
        <v>45</v>
      </c>
      <c r="E240" s="770">
        <v>19346.84</v>
      </c>
      <c r="F240" s="770">
        <v>1092515.94</v>
      </c>
      <c r="G240" s="677"/>
      <c r="H240" s="688">
        <f t="shared" ref="H240:H243" si="118">+C240*0.75</f>
        <v>42.352499999999999</v>
      </c>
      <c r="I240" s="688">
        <f t="shared" si="114"/>
        <v>42.352499999999999</v>
      </c>
      <c r="J240" s="689">
        <f t="shared" si="115"/>
        <v>0.75</v>
      </c>
      <c r="K240" s="681"/>
      <c r="L240" s="681">
        <f t="shared" si="116"/>
        <v>819387.04110000003</v>
      </c>
      <c r="M240" s="681">
        <f t="shared" si="117"/>
        <v>819387.04110000003</v>
      </c>
      <c r="N240" s="690"/>
    </row>
    <row r="241" spans="1:14">
      <c r="A241" s="767">
        <v>1.03</v>
      </c>
      <c r="B241" s="768" t="s">
        <v>432</v>
      </c>
      <c r="C241" s="767">
        <v>21.25</v>
      </c>
      <c r="D241" s="769" t="s">
        <v>45</v>
      </c>
      <c r="E241" s="770">
        <v>29188.959999999999</v>
      </c>
      <c r="F241" s="770">
        <v>620265.4</v>
      </c>
      <c r="G241" s="677"/>
      <c r="H241" s="688">
        <f t="shared" si="118"/>
        <v>15.9375</v>
      </c>
      <c r="I241" s="688">
        <f t="shared" si="114"/>
        <v>15.9375</v>
      </c>
      <c r="J241" s="689">
        <f t="shared" si="115"/>
        <v>0.75</v>
      </c>
      <c r="K241" s="681"/>
      <c r="L241" s="681">
        <f t="shared" si="116"/>
        <v>465199.05</v>
      </c>
      <c r="M241" s="681">
        <f t="shared" si="117"/>
        <v>465199.05</v>
      </c>
      <c r="N241" s="690"/>
    </row>
    <row r="242" spans="1:14">
      <c r="A242" s="767">
        <v>1.04</v>
      </c>
      <c r="B242" s="768" t="s">
        <v>433</v>
      </c>
      <c r="C242" s="767">
        <v>2.38</v>
      </c>
      <c r="D242" s="769" t="s">
        <v>45</v>
      </c>
      <c r="E242" s="770">
        <v>43456.03</v>
      </c>
      <c r="F242" s="770">
        <v>103425.35</v>
      </c>
      <c r="G242" s="677"/>
      <c r="H242" s="688">
        <f t="shared" si="118"/>
        <v>1.7849999999999999</v>
      </c>
      <c r="I242" s="688">
        <f t="shared" si="114"/>
        <v>1.7849999999999999</v>
      </c>
      <c r="J242" s="689">
        <f t="shared" si="115"/>
        <v>0.75</v>
      </c>
      <c r="K242" s="681"/>
      <c r="L242" s="681">
        <f t="shared" si="116"/>
        <v>77569.013549999989</v>
      </c>
      <c r="M242" s="681">
        <f t="shared" si="117"/>
        <v>77569.013549999989</v>
      </c>
      <c r="N242" s="690"/>
    </row>
    <row r="243" spans="1:14">
      <c r="A243" s="767">
        <v>1.05</v>
      </c>
      <c r="B243" s="768" t="s">
        <v>435</v>
      </c>
      <c r="C243" s="767">
        <v>50.38</v>
      </c>
      <c r="D243" s="769" t="s">
        <v>45</v>
      </c>
      <c r="E243" s="770">
        <v>24931.97</v>
      </c>
      <c r="F243" s="770">
        <v>1256072.4099999999</v>
      </c>
      <c r="G243" s="677"/>
      <c r="H243" s="688">
        <f t="shared" si="118"/>
        <v>37.785000000000004</v>
      </c>
      <c r="I243" s="688">
        <f t="shared" si="114"/>
        <v>37.785000000000004</v>
      </c>
      <c r="J243" s="689">
        <f t="shared" si="115"/>
        <v>0.75</v>
      </c>
      <c r="K243" s="681"/>
      <c r="L243" s="681">
        <f t="shared" si="116"/>
        <v>942054.48645000008</v>
      </c>
      <c r="M243" s="681">
        <f t="shared" si="117"/>
        <v>942054.48645000008</v>
      </c>
      <c r="N243" s="690"/>
    </row>
    <row r="244" spans="1:14">
      <c r="A244" s="764"/>
      <c r="B244" s="771" t="s">
        <v>39</v>
      </c>
      <c r="C244" s="771"/>
      <c r="D244" s="772"/>
      <c r="E244" s="771"/>
      <c r="F244" s="773">
        <f>SUM(F239:F243)</f>
        <v>3376819.76</v>
      </c>
      <c r="G244" s="677"/>
      <c r="H244" s="688"/>
      <c r="I244" s="688"/>
      <c r="J244" s="698"/>
      <c r="K244" s="703">
        <f>+SUBTOTAL(9,K239:K243)</f>
        <v>0</v>
      </c>
      <c r="L244" s="703">
        <f>+SUBTOTAL(9,L239:L243)</f>
        <v>2532615.0840000003</v>
      </c>
      <c r="M244" s="703">
        <f>+SUBTOTAL(9,M239:M243)</f>
        <v>2532615.0840000003</v>
      </c>
      <c r="N244" s="690"/>
    </row>
    <row r="245" spans="1:14">
      <c r="A245" s="766">
        <v>2</v>
      </c>
      <c r="B245" s="762" t="s">
        <v>436</v>
      </c>
      <c r="C245" s="763"/>
      <c r="D245" s="764"/>
      <c r="E245" s="763"/>
      <c r="F245" s="765"/>
      <c r="G245" s="677"/>
      <c r="H245" s="688"/>
      <c r="I245" s="688"/>
      <c r="J245" s="698"/>
      <c r="K245" s="681"/>
      <c r="L245" s="681"/>
      <c r="M245" s="681"/>
      <c r="N245" s="690"/>
    </row>
    <row r="246" spans="1:14">
      <c r="A246" s="767">
        <v>2.0099999999999998</v>
      </c>
      <c r="B246" s="768" t="s">
        <v>437</v>
      </c>
      <c r="C246" s="767">
        <v>122.79</v>
      </c>
      <c r="D246" s="769" t="s">
        <v>222</v>
      </c>
      <c r="E246" s="770">
        <v>1479.5</v>
      </c>
      <c r="F246" s="770">
        <v>181667.81</v>
      </c>
      <c r="G246" s="677"/>
      <c r="H246" s="688"/>
      <c r="I246" s="688"/>
      <c r="J246" s="698"/>
      <c r="K246" s="681"/>
      <c r="L246" s="681"/>
      <c r="M246" s="681"/>
      <c r="N246" s="690"/>
    </row>
    <row r="247" spans="1:14">
      <c r="A247" s="764"/>
      <c r="B247" s="771" t="s">
        <v>39</v>
      </c>
      <c r="C247" s="771"/>
      <c r="D247" s="772"/>
      <c r="E247" s="771"/>
      <c r="F247" s="773">
        <f>F246</f>
        <v>181667.81</v>
      </c>
      <c r="G247" s="677"/>
      <c r="H247" s="688"/>
      <c r="I247" s="688"/>
      <c r="J247" s="698"/>
      <c r="K247" s="681"/>
      <c r="L247" s="681"/>
      <c r="M247" s="681"/>
      <c r="N247" s="690"/>
    </row>
    <row r="248" spans="1:14">
      <c r="A248" s="766">
        <v>3</v>
      </c>
      <c r="B248" s="762" t="s">
        <v>438</v>
      </c>
      <c r="C248" s="763"/>
      <c r="D248" s="764"/>
      <c r="E248" s="763"/>
      <c r="F248" s="765"/>
      <c r="G248" s="677"/>
      <c r="H248" s="688"/>
      <c r="I248" s="688"/>
      <c r="J248" s="698"/>
      <c r="K248" s="681"/>
      <c r="L248" s="681"/>
      <c r="M248" s="681"/>
      <c r="N248" s="690"/>
    </row>
    <row r="249" spans="1:14">
      <c r="A249" s="767">
        <v>3.01</v>
      </c>
      <c r="B249" s="768" t="s">
        <v>439</v>
      </c>
      <c r="C249" s="774">
        <v>1173.95</v>
      </c>
      <c r="D249" s="769" t="s">
        <v>222</v>
      </c>
      <c r="E249" s="775">
        <v>64.19</v>
      </c>
      <c r="F249" s="770">
        <v>75355.850000000006</v>
      </c>
      <c r="G249" s="677"/>
      <c r="H249" s="688"/>
      <c r="I249" s="688"/>
      <c r="J249" s="698"/>
      <c r="K249" s="681"/>
      <c r="L249" s="681"/>
      <c r="M249" s="681"/>
      <c r="N249" s="690"/>
    </row>
    <row r="250" spans="1:14" ht="25.5">
      <c r="A250" s="767">
        <v>3.02</v>
      </c>
      <c r="B250" s="768" t="s">
        <v>440</v>
      </c>
      <c r="C250" s="767">
        <v>245.58</v>
      </c>
      <c r="D250" s="769" t="s">
        <v>222</v>
      </c>
      <c r="E250" s="775">
        <v>461.37</v>
      </c>
      <c r="F250" s="770">
        <v>113303.24</v>
      </c>
      <c r="G250" s="677"/>
      <c r="H250" s="688"/>
      <c r="I250" s="688"/>
      <c r="J250" s="698"/>
      <c r="K250" s="681"/>
      <c r="L250" s="681"/>
      <c r="M250" s="681"/>
      <c r="N250" s="690"/>
    </row>
    <row r="251" spans="1:14">
      <c r="A251" s="767">
        <v>3.03</v>
      </c>
      <c r="B251" s="768" t="s">
        <v>441</v>
      </c>
      <c r="C251" s="767">
        <v>27</v>
      </c>
      <c r="D251" s="769" t="s">
        <v>38</v>
      </c>
      <c r="E251" s="775">
        <v>137.16999999999999</v>
      </c>
      <c r="F251" s="770">
        <v>3703.59</v>
      </c>
      <c r="G251" s="677"/>
      <c r="H251" s="688"/>
      <c r="I251" s="688"/>
      <c r="J251" s="698"/>
      <c r="K251" s="681"/>
      <c r="L251" s="681"/>
      <c r="M251" s="681"/>
      <c r="N251" s="690"/>
    </row>
    <row r="252" spans="1:14">
      <c r="A252" s="764"/>
      <c r="B252" s="771" t="s">
        <v>39</v>
      </c>
      <c r="C252" s="771"/>
      <c r="D252" s="772"/>
      <c r="E252" s="771"/>
      <c r="F252" s="773">
        <f>SUM(F249:F251)</f>
        <v>192362.68000000002</v>
      </c>
      <c r="G252" s="677"/>
      <c r="H252" s="688"/>
      <c r="I252" s="688"/>
      <c r="J252" s="698"/>
      <c r="K252" s="681"/>
      <c r="L252" s="681"/>
      <c r="M252" s="681"/>
      <c r="N252" s="690"/>
    </row>
    <row r="253" spans="1:14">
      <c r="A253" s="766">
        <v>4</v>
      </c>
      <c r="B253" s="762" t="s">
        <v>442</v>
      </c>
      <c r="C253" s="763"/>
      <c r="D253" s="764"/>
      <c r="E253" s="763"/>
      <c r="F253" s="765"/>
      <c r="G253" s="677"/>
      <c r="H253" s="688"/>
      <c r="I253" s="688"/>
      <c r="J253" s="698"/>
      <c r="K253" s="681"/>
      <c r="L253" s="681"/>
      <c r="M253" s="681"/>
      <c r="N253" s="690"/>
    </row>
    <row r="254" spans="1:14">
      <c r="A254" s="767">
        <v>4.01</v>
      </c>
      <c r="B254" s="768" t="s">
        <v>443</v>
      </c>
      <c r="C254" s="767">
        <v>32</v>
      </c>
      <c r="D254" s="769" t="s">
        <v>222</v>
      </c>
      <c r="E254" s="770">
        <v>1798.75</v>
      </c>
      <c r="F254" s="770">
        <v>57560</v>
      </c>
      <c r="G254" s="677"/>
      <c r="H254" s="688"/>
      <c r="I254" s="688"/>
      <c r="J254" s="698"/>
      <c r="K254" s="681"/>
      <c r="L254" s="681"/>
      <c r="M254" s="681"/>
      <c r="N254" s="690"/>
    </row>
    <row r="255" spans="1:14">
      <c r="A255" s="767">
        <v>4.0199999999999996</v>
      </c>
      <c r="B255" s="768" t="s">
        <v>444</v>
      </c>
      <c r="C255" s="767">
        <v>2.6</v>
      </c>
      <c r="D255" s="769" t="s">
        <v>222</v>
      </c>
      <c r="E255" s="770">
        <v>1748.75</v>
      </c>
      <c r="F255" s="770">
        <v>4546.75</v>
      </c>
      <c r="G255" s="677"/>
      <c r="H255" s="688"/>
      <c r="I255" s="688"/>
      <c r="J255" s="698"/>
      <c r="K255" s="681"/>
      <c r="L255" s="681"/>
      <c r="M255" s="681"/>
      <c r="N255" s="690"/>
    </row>
    <row r="256" spans="1:14">
      <c r="A256" s="767">
        <v>4.03</v>
      </c>
      <c r="B256" s="768" t="s">
        <v>445</v>
      </c>
      <c r="C256" s="767">
        <v>891.14</v>
      </c>
      <c r="D256" s="769" t="s">
        <v>446</v>
      </c>
      <c r="E256" s="775">
        <v>649</v>
      </c>
      <c r="F256" s="770">
        <v>578351.93999999994</v>
      </c>
      <c r="G256" s="677"/>
      <c r="H256" s="688"/>
      <c r="I256" s="688"/>
      <c r="J256" s="698"/>
      <c r="K256" s="681"/>
      <c r="L256" s="681"/>
      <c r="M256" s="681"/>
      <c r="N256" s="690"/>
    </row>
    <row r="257" spans="1:14">
      <c r="A257" s="767">
        <v>4.04</v>
      </c>
      <c r="B257" s="768" t="s">
        <v>447</v>
      </c>
      <c r="C257" s="767">
        <v>197.91</v>
      </c>
      <c r="D257" s="769" t="s">
        <v>222</v>
      </c>
      <c r="E257" s="770">
        <v>6983.24</v>
      </c>
      <c r="F257" s="770">
        <v>1382053.03</v>
      </c>
      <c r="G257" s="677"/>
      <c r="H257" s="688"/>
      <c r="I257" s="688"/>
      <c r="J257" s="698"/>
      <c r="K257" s="681"/>
      <c r="L257" s="681"/>
      <c r="M257" s="681"/>
      <c r="N257" s="690"/>
    </row>
    <row r="258" spans="1:14">
      <c r="A258" s="767">
        <v>4.05</v>
      </c>
      <c r="B258" s="768" t="s">
        <v>448</v>
      </c>
      <c r="C258" s="767">
        <v>8</v>
      </c>
      <c r="D258" s="769" t="s">
        <v>222</v>
      </c>
      <c r="E258" s="770">
        <v>1282.6300000000001</v>
      </c>
      <c r="F258" s="770">
        <v>10261.02</v>
      </c>
      <c r="G258" s="677"/>
      <c r="H258" s="688"/>
      <c r="I258" s="688"/>
      <c r="J258" s="698"/>
      <c r="K258" s="681"/>
      <c r="L258" s="681"/>
      <c r="M258" s="681"/>
      <c r="N258" s="690"/>
    </row>
    <row r="259" spans="1:14">
      <c r="A259" s="767">
        <v>4.0599999999999996</v>
      </c>
      <c r="B259" s="768" t="s">
        <v>449</v>
      </c>
      <c r="C259" s="767">
        <v>35</v>
      </c>
      <c r="D259" s="769" t="s">
        <v>222</v>
      </c>
      <c r="E259" s="770">
        <v>1441.41</v>
      </c>
      <c r="F259" s="770">
        <v>50449.36</v>
      </c>
      <c r="G259" s="677"/>
      <c r="H259" s="688"/>
      <c r="I259" s="688"/>
      <c r="J259" s="698"/>
      <c r="K259" s="681"/>
      <c r="L259" s="681"/>
      <c r="M259" s="681"/>
      <c r="N259" s="690"/>
    </row>
    <row r="260" spans="1:14">
      <c r="A260" s="764"/>
      <c r="B260" s="771" t="s">
        <v>39</v>
      </c>
      <c r="C260" s="771"/>
      <c r="D260" s="772"/>
      <c r="E260" s="771"/>
      <c r="F260" s="773">
        <f>SUM(F254:F259)</f>
        <v>2083222.1</v>
      </c>
      <c r="G260" s="677"/>
      <c r="H260" s="688"/>
      <c r="I260" s="688"/>
      <c r="J260" s="698"/>
      <c r="K260" s="681"/>
      <c r="L260" s="681"/>
      <c r="M260" s="681"/>
      <c r="N260" s="690"/>
    </row>
    <row r="261" spans="1:14">
      <c r="A261" s="766">
        <v>5</v>
      </c>
      <c r="B261" s="762" t="s">
        <v>450</v>
      </c>
      <c r="C261" s="763"/>
      <c r="D261" s="764"/>
      <c r="E261" s="763"/>
      <c r="F261" s="765"/>
      <c r="G261" s="677"/>
      <c r="H261" s="688"/>
      <c r="I261" s="688"/>
      <c r="J261" s="698"/>
      <c r="K261" s="681"/>
      <c r="L261" s="681"/>
      <c r="M261" s="681"/>
      <c r="N261" s="690"/>
    </row>
    <row r="262" spans="1:14">
      <c r="A262" s="767">
        <v>5.01</v>
      </c>
      <c r="B262" s="768" t="s">
        <v>451</v>
      </c>
      <c r="C262" s="767">
        <v>458</v>
      </c>
      <c r="D262" s="769" t="s">
        <v>222</v>
      </c>
      <c r="E262" s="770">
        <v>1800.51</v>
      </c>
      <c r="F262" s="770">
        <v>824633.58</v>
      </c>
      <c r="G262" s="677"/>
      <c r="H262" s="688"/>
      <c r="I262" s="688"/>
      <c r="J262" s="698"/>
      <c r="K262" s="681"/>
      <c r="L262" s="681"/>
      <c r="M262" s="681"/>
      <c r="N262" s="690"/>
    </row>
    <row r="263" spans="1:14">
      <c r="A263" s="767">
        <v>5.0199999999999996</v>
      </c>
      <c r="B263" s="768" t="s">
        <v>452</v>
      </c>
      <c r="C263" s="767">
        <v>110.78</v>
      </c>
      <c r="D263" s="769" t="s">
        <v>38</v>
      </c>
      <c r="E263" s="775">
        <v>277.51</v>
      </c>
      <c r="F263" s="770">
        <v>30742.560000000001</v>
      </c>
      <c r="G263" s="677"/>
      <c r="H263" s="688"/>
      <c r="I263" s="688"/>
      <c r="J263" s="698"/>
      <c r="K263" s="681"/>
      <c r="L263" s="681"/>
      <c r="M263" s="681"/>
      <c r="N263" s="690"/>
    </row>
    <row r="264" spans="1:14">
      <c r="A264" s="767">
        <v>5.03</v>
      </c>
      <c r="B264" s="768" t="s">
        <v>453</v>
      </c>
      <c r="C264" s="767">
        <v>35</v>
      </c>
      <c r="D264" s="769" t="s">
        <v>222</v>
      </c>
      <c r="E264" s="770">
        <v>1948.43</v>
      </c>
      <c r="F264" s="770">
        <v>68195.05</v>
      </c>
      <c r="G264" s="677"/>
      <c r="H264" s="688"/>
      <c r="I264" s="688"/>
      <c r="J264" s="698"/>
      <c r="K264" s="681"/>
      <c r="L264" s="681"/>
      <c r="M264" s="681"/>
      <c r="N264" s="690"/>
    </row>
    <row r="265" spans="1:14">
      <c r="A265" s="764"/>
      <c r="B265" s="771" t="s">
        <v>39</v>
      </c>
      <c r="C265" s="771"/>
      <c r="D265" s="772"/>
      <c r="E265" s="771"/>
      <c r="F265" s="773">
        <f>SUM(F262:F264)</f>
        <v>923571.19000000006</v>
      </c>
      <c r="G265" s="677"/>
      <c r="H265" s="688"/>
      <c r="I265" s="688"/>
      <c r="J265" s="698"/>
      <c r="K265" s="681"/>
      <c r="L265" s="681"/>
      <c r="M265" s="681"/>
      <c r="N265" s="690"/>
    </row>
    <row r="266" spans="1:14">
      <c r="A266" s="766">
        <v>6</v>
      </c>
      <c r="B266" s="762" t="s">
        <v>454</v>
      </c>
      <c r="C266" s="763"/>
      <c r="D266" s="764"/>
      <c r="E266" s="763"/>
      <c r="F266" s="765"/>
      <c r="G266" s="677"/>
      <c r="H266" s="688"/>
      <c r="I266" s="688"/>
      <c r="J266" s="698"/>
      <c r="K266" s="681"/>
      <c r="L266" s="681"/>
      <c r="M266" s="681"/>
      <c r="N266" s="690"/>
    </row>
    <row r="267" spans="1:14" ht="25.5">
      <c r="A267" s="767">
        <v>6.01</v>
      </c>
      <c r="B267" s="768" t="s">
        <v>455</v>
      </c>
      <c r="C267" s="767">
        <v>1</v>
      </c>
      <c r="D267" s="769" t="s">
        <v>52</v>
      </c>
      <c r="E267" s="770">
        <v>40655.199999999997</v>
      </c>
      <c r="F267" s="770">
        <v>40655.199999999997</v>
      </c>
      <c r="G267" s="677"/>
      <c r="H267" s="688"/>
      <c r="I267" s="688"/>
      <c r="J267" s="698"/>
      <c r="K267" s="681"/>
      <c r="L267" s="681"/>
      <c r="M267" s="681"/>
      <c r="N267" s="690"/>
    </row>
    <row r="268" spans="1:14">
      <c r="A268" s="767">
        <v>6.02</v>
      </c>
      <c r="B268" s="768" t="s">
        <v>456</v>
      </c>
      <c r="C268" s="767">
        <v>3</v>
      </c>
      <c r="D268" s="769" t="s">
        <v>52</v>
      </c>
      <c r="E268" s="770">
        <v>25259.82</v>
      </c>
      <c r="F268" s="770">
        <v>75779.460000000006</v>
      </c>
      <c r="G268" s="677"/>
      <c r="H268" s="688"/>
      <c r="I268" s="688"/>
      <c r="J268" s="698"/>
      <c r="K268" s="681"/>
      <c r="L268" s="681"/>
      <c r="M268" s="681"/>
      <c r="N268" s="690"/>
    </row>
    <row r="269" spans="1:14">
      <c r="A269" s="767">
        <v>6.03</v>
      </c>
      <c r="B269" s="768" t="s">
        <v>457</v>
      </c>
      <c r="C269" s="767">
        <v>5</v>
      </c>
      <c r="D269" s="769" t="s">
        <v>52</v>
      </c>
      <c r="E269" s="770">
        <v>19857.84</v>
      </c>
      <c r="F269" s="770">
        <v>99289.2</v>
      </c>
      <c r="G269" s="677"/>
      <c r="H269" s="688"/>
      <c r="I269" s="688"/>
      <c r="J269" s="698"/>
      <c r="K269" s="681"/>
      <c r="L269" s="681"/>
      <c r="M269" s="681"/>
      <c r="N269" s="690"/>
    </row>
    <row r="270" spans="1:14">
      <c r="A270" s="764"/>
      <c r="B270" s="771" t="s">
        <v>39</v>
      </c>
      <c r="C270" s="771"/>
      <c r="D270" s="772"/>
      <c r="E270" s="771"/>
      <c r="F270" s="773">
        <f>SUM(F267:F269)</f>
        <v>215723.86</v>
      </c>
      <c r="G270" s="677"/>
      <c r="H270" s="688"/>
      <c r="I270" s="688"/>
      <c r="J270" s="698"/>
      <c r="K270" s="681"/>
      <c r="L270" s="681"/>
      <c r="M270" s="681"/>
      <c r="N270" s="690"/>
    </row>
    <row r="271" spans="1:14">
      <c r="A271" s="766">
        <v>7</v>
      </c>
      <c r="B271" s="762" t="s">
        <v>458</v>
      </c>
      <c r="C271" s="763"/>
      <c r="D271" s="764"/>
      <c r="E271" s="763"/>
      <c r="F271" s="765"/>
      <c r="G271" s="677"/>
      <c r="H271" s="688"/>
      <c r="I271" s="688"/>
      <c r="J271" s="698"/>
      <c r="K271" s="681"/>
      <c r="L271" s="681"/>
      <c r="M271" s="681"/>
      <c r="N271" s="690"/>
    </row>
    <row r="272" spans="1:14" ht="25.5">
      <c r="A272" s="767">
        <v>7.01</v>
      </c>
      <c r="B272" s="768" t="s">
        <v>459</v>
      </c>
      <c r="C272" s="767">
        <v>10.34</v>
      </c>
      <c r="D272" s="769" t="s">
        <v>446</v>
      </c>
      <c r="E272" s="775">
        <v>882.05</v>
      </c>
      <c r="F272" s="770">
        <v>9120.4</v>
      </c>
      <c r="G272" s="677"/>
      <c r="H272" s="688"/>
      <c r="I272" s="688"/>
      <c r="J272" s="698"/>
      <c r="K272" s="681"/>
      <c r="L272" s="681"/>
      <c r="M272" s="681"/>
      <c r="N272" s="690"/>
    </row>
    <row r="273" spans="1:14">
      <c r="A273" s="764"/>
      <c r="B273" s="771" t="s">
        <v>39</v>
      </c>
      <c r="C273" s="771"/>
      <c r="D273" s="772"/>
      <c r="E273" s="771"/>
      <c r="F273" s="773">
        <f>F272</f>
        <v>9120.4</v>
      </c>
      <c r="G273" s="677"/>
      <c r="H273" s="688"/>
      <c r="I273" s="688"/>
      <c r="J273" s="698"/>
      <c r="K273" s="681"/>
      <c r="L273" s="681"/>
      <c r="M273" s="681"/>
      <c r="N273" s="690"/>
    </row>
    <row r="274" spans="1:14">
      <c r="A274" s="766">
        <v>8</v>
      </c>
      <c r="B274" s="762" t="s">
        <v>460</v>
      </c>
      <c r="C274" s="763"/>
      <c r="D274" s="764"/>
      <c r="E274" s="763"/>
      <c r="F274" s="765"/>
      <c r="G274" s="677"/>
      <c r="H274" s="688"/>
      <c r="I274" s="688"/>
      <c r="J274" s="698"/>
      <c r="K274" s="681"/>
      <c r="L274" s="681"/>
      <c r="M274" s="681"/>
      <c r="N274" s="690"/>
    </row>
    <row r="275" spans="1:14">
      <c r="A275" s="767">
        <v>8.01</v>
      </c>
      <c r="B275" s="768" t="s">
        <v>461</v>
      </c>
      <c r="C275" s="767">
        <v>17</v>
      </c>
      <c r="D275" s="769" t="s">
        <v>38</v>
      </c>
      <c r="E275" s="770">
        <v>2764.21</v>
      </c>
      <c r="F275" s="770">
        <v>46991.57</v>
      </c>
      <c r="G275" s="677"/>
      <c r="H275" s="688"/>
      <c r="I275" s="688"/>
      <c r="J275" s="698"/>
      <c r="K275" s="681"/>
      <c r="L275" s="681"/>
      <c r="M275" s="681"/>
      <c r="N275" s="690"/>
    </row>
    <row r="276" spans="1:14">
      <c r="A276" s="767">
        <v>8.02</v>
      </c>
      <c r="B276" s="768" t="s">
        <v>462</v>
      </c>
      <c r="C276" s="767">
        <v>4</v>
      </c>
      <c r="D276" s="769" t="s">
        <v>222</v>
      </c>
      <c r="E276" s="770">
        <v>1800.51</v>
      </c>
      <c r="F276" s="770">
        <v>7202.04</v>
      </c>
      <c r="G276" s="677"/>
      <c r="H276" s="688"/>
      <c r="I276" s="688"/>
      <c r="J276" s="698"/>
      <c r="K276" s="681"/>
      <c r="L276" s="681"/>
      <c r="M276" s="681"/>
      <c r="N276" s="690"/>
    </row>
    <row r="277" spans="1:14">
      <c r="A277" s="764"/>
      <c r="B277" s="771" t="s">
        <v>39</v>
      </c>
      <c r="C277" s="771"/>
      <c r="D277" s="772"/>
      <c r="E277" s="771"/>
      <c r="F277" s="773">
        <f>SUM(F275:F276)</f>
        <v>54193.61</v>
      </c>
      <c r="G277" s="677"/>
      <c r="H277" s="688"/>
      <c r="I277" s="688"/>
      <c r="J277" s="698"/>
      <c r="K277" s="681"/>
      <c r="L277" s="681"/>
      <c r="M277" s="681"/>
      <c r="N277" s="690"/>
    </row>
    <row r="278" spans="1:14">
      <c r="A278" s="766">
        <v>9</v>
      </c>
      <c r="B278" s="762" t="s">
        <v>463</v>
      </c>
      <c r="C278" s="763"/>
      <c r="D278" s="764"/>
      <c r="E278" s="763"/>
      <c r="F278" s="765"/>
      <c r="G278" s="677"/>
      <c r="H278" s="688"/>
      <c r="I278" s="688"/>
      <c r="J278" s="698"/>
      <c r="K278" s="681"/>
      <c r="L278" s="681"/>
      <c r="M278" s="681"/>
      <c r="N278" s="690"/>
    </row>
    <row r="279" spans="1:14">
      <c r="A279" s="767">
        <v>9.01</v>
      </c>
      <c r="B279" s="768" t="s">
        <v>464</v>
      </c>
      <c r="C279" s="774">
        <v>1585.32</v>
      </c>
      <c r="D279" s="769" t="s">
        <v>222</v>
      </c>
      <c r="E279" s="775">
        <v>300.42</v>
      </c>
      <c r="F279" s="770">
        <v>476261.83</v>
      </c>
      <c r="G279" s="677"/>
      <c r="H279" s="688"/>
      <c r="I279" s="688"/>
      <c r="J279" s="698"/>
      <c r="K279" s="681"/>
      <c r="L279" s="681"/>
      <c r="M279" s="681"/>
      <c r="N279" s="690"/>
    </row>
    <row r="280" spans="1:14">
      <c r="A280" s="764"/>
      <c r="B280" s="771" t="s">
        <v>39</v>
      </c>
      <c r="C280" s="771"/>
      <c r="D280" s="772"/>
      <c r="E280" s="771"/>
      <c r="F280" s="773">
        <f>F279</f>
        <v>476261.83</v>
      </c>
      <c r="G280" s="677"/>
      <c r="H280" s="688"/>
      <c r="I280" s="688"/>
      <c r="J280" s="698"/>
      <c r="K280" s="681"/>
      <c r="L280" s="681"/>
      <c r="M280" s="681"/>
      <c r="N280" s="690"/>
    </row>
    <row r="281" spans="1:14">
      <c r="A281" s="766">
        <v>10</v>
      </c>
      <c r="B281" s="762" t="s">
        <v>465</v>
      </c>
      <c r="C281" s="763"/>
      <c r="D281" s="764"/>
      <c r="E281" s="763"/>
      <c r="F281" s="765"/>
      <c r="G281" s="677"/>
      <c r="H281" s="688"/>
      <c r="I281" s="688"/>
      <c r="J281" s="698"/>
      <c r="K281" s="681"/>
      <c r="L281" s="681"/>
      <c r="M281" s="681"/>
      <c r="N281" s="690"/>
    </row>
    <row r="282" spans="1:14">
      <c r="A282" s="767">
        <v>10.01</v>
      </c>
      <c r="B282" s="768" t="s">
        <v>466</v>
      </c>
      <c r="C282" s="763"/>
      <c r="D282" s="764"/>
      <c r="E282" s="763"/>
      <c r="F282" s="765"/>
      <c r="G282" s="677"/>
      <c r="H282" s="688"/>
      <c r="I282" s="688"/>
      <c r="J282" s="698"/>
      <c r="K282" s="681"/>
      <c r="L282" s="681"/>
      <c r="M282" s="681"/>
      <c r="N282" s="690"/>
    </row>
    <row r="283" spans="1:14">
      <c r="A283" s="767">
        <v>10.02</v>
      </c>
      <c r="B283" s="768" t="s">
        <v>467</v>
      </c>
      <c r="C283" s="767">
        <v>5.4</v>
      </c>
      <c r="D283" s="769" t="s">
        <v>222</v>
      </c>
      <c r="E283" s="770">
        <v>6543.33</v>
      </c>
      <c r="F283" s="770">
        <v>35334</v>
      </c>
      <c r="G283" s="677"/>
      <c r="H283" s="688"/>
      <c r="I283" s="688"/>
      <c r="J283" s="698"/>
      <c r="K283" s="681"/>
      <c r="L283" s="681"/>
      <c r="M283" s="681"/>
      <c r="N283" s="690"/>
    </row>
    <row r="284" spans="1:14">
      <c r="A284" s="767">
        <v>10.029999999999999</v>
      </c>
      <c r="B284" s="768" t="s">
        <v>468</v>
      </c>
      <c r="C284" s="767">
        <v>6</v>
      </c>
      <c r="D284" s="769" t="s">
        <v>52</v>
      </c>
      <c r="E284" s="770">
        <v>10994.43</v>
      </c>
      <c r="F284" s="770">
        <v>65966.58</v>
      </c>
      <c r="G284" s="677"/>
      <c r="H284" s="688"/>
      <c r="I284" s="688"/>
      <c r="J284" s="698"/>
      <c r="K284" s="681"/>
      <c r="L284" s="681"/>
      <c r="M284" s="681"/>
      <c r="N284" s="690"/>
    </row>
    <row r="285" spans="1:14">
      <c r="A285" s="767">
        <v>10.039999999999999</v>
      </c>
      <c r="B285" s="768" t="s">
        <v>469</v>
      </c>
      <c r="C285" s="767">
        <v>8</v>
      </c>
      <c r="D285" s="769" t="s">
        <v>52</v>
      </c>
      <c r="E285" s="770">
        <v>12551.71</v>
      </c>
      <c r="F285" s="770">
        <v>100413.68</v>
      </c>
      <c r="G285" s="677"/>
      <c r="H285" s="688"/>
      <c r="I285" s="688"/>
      <c r="J285" s="698"/>
      <c r="K285" s="681"/>
      <c r="L285" s="681"/>
      <c r="M285" s="681"/>
      <c r="N285" s="690"/>
    </row>
    <row r="286" spans="1:14">
      <c r="A286" s="767">
        <v>10.050000000000001</v>
      </c>
      <c r="B286" s="768" t="s">
        <v>470</v>
      </c>
      <c r="C286" s="767">
        <v>2</v>
      </c>
      <c r="D286" s="769" t="s">
        <v>52</v>
      </c>
      <c r="E286" s="770">
        <v>2783.77</v>
      </c>
      <c r="F286" s="770">
        <v>5567.54</v>
      </c>
      <c r="G286" s="677"/>
      <c r="H286" s="688"/>
      <c r="I286" s="688"/>
      <c r="J286" s="698"/>
      <c r="K286" s="681"/>
      <c r="L286" s="681"/>
      <c r="M286" s="681"/>
      <c r="N286" s="690"/>
    </row>
    <row r="287" spans="1:14">
      <c r="A287" s="767">
        <v>10.06</v>
      </c>
      <c r="B287" s="768" t="s">
        <v>471</v>
      </c>
      <c r="C287" s="767">
        <v>2</v>
      </c>
      <c r="D287" s="769" t="s">
        <v>52</v>
      </c>
      <c r="E287" s="770">
        <v>10709.95</v>
      </c>
      <c r="F287" s="770">
        <v>21419.9</v>
      </c>
      <c r="G287" s="677"/>
      <c r="H287" s="688"/>
      <c r="I287" s="688"/>
      <c r="J287" s="698"/>
      <c r="K287" s="681"/>
      <c r="L287" s="681"/>
      <c r="M287" s="681"/>
      <c r="N287" s="690"/>
    </row>
    <row r="288" spans="1:14">
      <c r="A288" s="767">
        <v>10.07</v>
      </c>
      <c r="B288" s="768" t="s">
        <v>489</v>
      </c>
      <c r="C288" s="767">
        <v>1</v>
      </c>
      <c r="D288" s="769" t="s">
        <v>52</v>
      </c>
      <c r="E288" s="770">
        <v>2239.4499999999998</v>
      </c>
      <c r="F288" s="770">
        <v>2239.4499999999998</v>
      </c>
      <c r="G288" s="677"/>
      <c r="H288" s="688"/>
      <c r="I288" s="688"/>
      <c r="J288" s="698"/>
      <c r="K288" s="681"/>
      <c r="L288" s="681"/>
      <c r="M288" s="681"/>
      <c r="N288" s="690"/>
    </row>
    <row r="289" spans="1:14">
      <c r="A289" s="767">
        <v>10.08</v>
      </c>
      <c r="B289" s="768" t="s">
        <v>473</v>
      </c>
      <c r="C289" s="767">
        <v>1</v>
      </c>
      <c r="D289" s="769" t="s">
        <v>55</v>
      </c>
      <c r="E289" s="770">
        <v>135000</v>
      </c>
      <c r="F289" s="770">
        <v>135000</v>
      </c>
      <c r="G289" s="677"/>
      <c r="H289" s="688"/>
      <c r="I289" s="688"/>
      <c r="J289" s="698"/>
      <c r="K289" s="681"/>
      <c r="L289" s="681"/>
      <c r="M289" s="681"/>
      <c r="N289" s="690"/>
    </row>
    <row r="290" spans="1:14">
      <c r="A290" s="767">
        <v>10.09</v>
      </c>
      <c r="B290" s="768" t="s">
        <v>474</v>
      </c>
      <c r="C290" s="763"/>
      <c r="D290" s="764"/>
      <c r="E290" s="763"/>
      <c r="F290" s="765"/>
      <c r="G290" s="677"/>
      <c r="H290" s="688"/>
      <c r="I290" s="688"/>
      <c r="J290" s="698"/>
      <c r="K290" s="681"/>
      <c r="L290" s="681"/>
      <c r="M290" s="681"/>
      <c r="N290" s="690"/>
    </row>
    <row r="291" spans="1:14">
      <c r="A291" s="767">
        <v>10.1</v>
      </c>
      <c r="B291" s="768" t="s">
        <v>475</v>
      </c>
      <c r="C291" s="767">
        <v>10</v>
      </c>
      <c r="D291" s="769" t="s">
        <v>330</v>
      </c>
      <c r="E291" s="770">
        <v>2955</v>
      </c>
      <c r="F291" s="770">
        <v>29550</v>
      </c>
      <c r="G291" s="677"/>
      <c r="H291" s="688"/>
      <c r="I291" s="688"/>
      <c r="J291" s="698"/>
      <c r="K291" s="681"/>
      <c r="L291" s="681"/>
      <c r="M291" s="681"/>
      <c r="N291" s="690"/>
    </row>
    <row r="292" spans="1:14">
      <c r="A292" s="767">
        <v>10.11</v>
      </c>
      <c r="B292" s="768" t="s">
        <v>467</v>
      </c>
      <c r="C292" s="767">
        <v>1.2</v>
      </c>
      <c r="D292" s="769" t="s">
        <v>222</v>
      </c>
      <c r="E292" s="770">
        <v>6790</v>
      </c>
      <c r="F292" s="770">
        <v>8148</v>
      </c>
      <c r="G292" s="677"/>
      <c r="H292" s="688"/>
      <c r="I292" s="688"/>
      <c r="J292" s="698"/>
      <c r="K292" s="681"/>
      <c r="L292" s="681"/>
      <c r="M292" s="681"/>
      <c r="N292" s="690"/>
    </row>
    <row r="293" spans="1:14">
      <c r="A293" s="767">
        <v>10.119999999999999</v>
      </c>
      <c r="B293" s="768" t="s">
        <v>476</v>
      </c>
      <c r="C293" s="767">
        <v>1</v>
      </c>
      <c r="D293" s="769" t="s">
        <v>52</v>
      </c>
      <c r="E293" s="770">
        <v>14106.81</v>
      </c>
      <c r="F293" s="770">
        <v>14106.81</v>
      </c>
      <c r="G293" s="677"/>
      <c r="H293" s="688"/>
      <c r="I293" s="688"/>
      <c r="J293" s="698"/>
      <c r="K293" s="681"/>
      <c r="L293" s="681"/>
      <c r="M293" s="681"/>
      <c r="N293" s="690"/>
    </row>
    <row r="294" spans="1:14">
      <c r="A294" s="767">
        <v>10.130000000000001</v>
      </c>
      <c r="B294" s="768" t="s">
        <v>489</v>
      </c>
      <c r="C294" s="767">
        <v>1</v>
      </c>
      <c r="D294" s="769" t="s">
        <v>52</v>
      </c>
      <c r="E294" s="770">
        <v>2239.4499999999998</v>
      </c>
      <c r="F294" s="770">
        <v>2239.4499999999998</v>
      </c>
      <c r="G294" s="677"/>
      <c r="H294" s="688"/>
      <c r="I294" s="688"/>
      <c r="J294" s="698"/>
      <c r="K294" s="681"/>
      <c r="L294" s="681"/>
      <c r="M294" s="681"/>
      <c r="N294" s="690"/>
    </row>
    <row r="295" spans="1:14">
      <c r="A295" s="764"/>
      <c r="B295" s="771" t="s">
        <v>39</v>
      </c>
      <c r="C295" s="763"/>
      <c r="D295" s="764"/>
      <c r="E295" s="763"/>
      <c r="F295" s="773">
        <f>SUM(F283:F294)</f>
        <v>419985.41000000003</v>
      </c>
      <c r="G295" s="677"/>
      <c r="H295" s="688"/>
      <c r="I295" s="688"/>
      <c r="J295" s="698"/>
      <c r="K295" s="681"/>
      <c r="L295" s="681"/>
      <c r="M295" s="681"/>
      <c r="N295" s="690"/>
    </row>
    <row r="296" spans="1:14">
      <c r="A296" s="766">
        <v>11</v>
      </c>
      <c r="B296" s="762" t="s">
        <v>478</v>
      </c>
      <c r="C296" s="763"/>
      <c r="D296" s="764"/>
      <c r="E296" s="763"/>
      <c r="F296" s="765"/>
      <c r="G296" s="677"/>
      <c r="H296" s="688"/>
      <c r="I296" s="688"/>
      <c r="J296" s="698"/>
      <c r="K296" s="681"/>
      <c r="L296" s="681"/>
      <c r="M296" s="681"/>
      <c r="N296" s="690"/>
    </row>
    <row r="297" spans="1:14">
      <c r="A297" s="767">
        <v>11.01</v>
      </c>
      <c r="B297" s="768" t="s">
        <v>479</v>
      </c>
      <c r="C297" s="767">
        <v>44</v>
      </c>
      <c r="D297" s="769" t="s">
        <v>52</v>
      </c>
      <c r="E297" s="770">
        <v>1473.68</v>
      </c>
      <c r="F297" s="770">
        <v>64841.919999999998</v>
      </c>
      <c r="G297" s="677"/>
      <c r="H297" s="688"/>
      <c r="I297" s="688"/>
      <c r="J297" s="698"/>
      <c r="K297" s="681"/>
      <c r="L297" s="681"/>
      <c r="M297" s="681"/>
      <c r="N297" s="690"/>
    </row>
    <row r="298" spans="1:14">
      <c r="A298" s="767">
        <v>11.02</v>
      </c>
      <c r="B298" s="768" t="s">
        <v>480</v>
      </c>
      <c r="C298" s="767">
        <v>10</v>
      </c>
      <c r="D298" s="769" t="s">
        <v>52</v>
      </c>
      <c r="E298" s="770">
        <v>1586.98</v>
      </c>
      <c r="F298" s="770">
        <v>15869.76</v>
      </c>
      <c r="G298" s="677"/>
      <c r="H298" s="688"/>
      <c r="I298" s="688"/>
      <c r="J298" s="698"/>
      <c r="K298" s="681"/>
      <c r="L298" s="681"/>
      <c r="M298" s="681"/>
      <c r="N298" s="690"/>
    </row>
    <row r="299" spans="1:14">
      <c r="A299" s="767">
        <v>11.03</v>
      </c>
      <c r="B299" s="768" t="s">
        <v>481</v>
      </c>
      <c r="C299" s="767">
        <v>2</v>
      </c>
      <c r="D299" s="769" t="s">
        <v>52</v>
      </c>
      <c r="E299" s="770">
        <v>2082.37</v>
      </c>
      <c r="F299" s="770">
        <v>4164.74</v>
      </c>
      <c r="G299" s="677"/>
      <c r="H299" s="688"/>
      <c r="I299" s="688"/>
      <c r="J299" s="698"/>
      <c r="K299" s="681"/>
      <c r="L299" s="681"/>
      <c r="M299" s="681"/>
      <c r="N299" s="690"/>
    </row>
    <row r="300" spans="1:14">
      <c r="A300" s="767">
        <v>11.04</v>
      </c>
      <c r="B300" s="768" t="s">
        <v>482</v>
      </c>
      <c r="C300" s="767">
        <v>1</v>
      </c>
      <c r="D300" s="769" t="s">
        <v>52</v>
      </c>
      <c r="E300" s="770">
        <v>2452.84</v>
      </c>
      <c r="F300" s="770">
        <v>2452.84</v>
      </c>
      <c r="G300" s="677"/>
      <c r="H300" s="688"/>
      <c r="I300" s="688"/>
      <c r="J300" s="698"/>
      <c r="K300" s="681"/>
      <c r="L300" s="681"/>
      <c r="M300" s="681"/>
      <c r="N300" s="690"/>
    </row>
    <row r="301" spans="1:14">
      <c r="A301" s="767">
        <v>11.05</v>
      </c>
      <c r="B301" s="768" t="s">
        <v>483</v>
      </c>
      <c r="C301" s="767">
        <v>2</v>
      </c>
      <c r="D301" s="769" t="s">
        <v>52</v>
      </c>
      <c r="E301" s="770">
        <v>1944.31</v>
      </c>
      <c r="F301" s="770">
        <v>3888.62</v>
      </c>
      <c r="G301" s="677"/>
      <c r="H301" s="688"/>
      <c r="I301" s="688"/>
      <c r="J301" s="698"/>
      <c r="K301" s="681"/>
      <c r="L301" s="681"/>
      <c r="M301" s="681"/>
      <c r="N301" s="690"/>
    </row>
    <row r="302" spans="1:14">
      <c r="A302" s="767">
        <v>11.06</v>
      </c>
      <c r="B302" s="768" t="s">
        <v>484</v>
      </c>
      <c r="C302" s="767">
        <v>30</v>
      </c>
      <c r="D302" s="769" t="s">
        <v>52</v>
      </c>
      <c r="E302" s="770">
        <v>1859.58</v>
      </c>
      <c r="F302" s="770">
        <v>55787.4</v>
      </c>
      <c r="G302" s="677"/>
      <c r="H302" s="688"/>
      <c r="I302" s="688"/>
      <c r="J302" s="698"/>
      <c r="K302" s="681"/>
      <c r="L302" s="681"/>
      <c r="M302" s="681"/>
      <c r="N302" s="690"/>
    </row>
    <row r="303" spans="1:14">
      <c r="A303" s="767">
        <v>11.07</v>
      </c>
      <c r="B303" s="768" t="s">
        <v>485</v>
      </c>
      <c r="C303" s="767">
        <v>12</v>
      </c>
      <c r="D303" s="769" t="s">
        <v>52</v>
      </c>
      <c r="E303" s="770">
        <v>3945.79</v>
      </c>
      <c r="F303" s="770">
        <v>47349.48</v>
      </c>
      <c r="G303" s="677"/>
      <c r="H303" s="688"/>
      <c r="I303" s="688"/>
      <c r="J303" s="698"/>
      <c r="K303" s="681"/>
      <c r="L303" s="681"/>
      <c r="M303" s="681"/>
      <c r="N303" s="690"/>
    </row>
    <row r="304" spans="1:14">
      <c r="A304" s="767">
        <v>11.08</v>
      </c>
      <c r="B304" s="768" t="s">
        <v>486</v>
      </c>
      <c r="C304" s="767">
        <v>16</v>
      </c>
      <c r="D304" s="769" t="s">
        <v>52</v>
      </c>
      <c r="E304" s="770">
        <v>1368.29</v>
      </c>
      <c r="F304" s="770">
        <v>21892.639999999999</v>
      </c>
      <c r="G304" s="677"/>
      <c r="H304" s="688"/>
      <c r="I304" s="688"/>
      <c r="J304" s="698"/>
      <c r="K304" s="681"/>
      <c r="L304" s="681"/>
      <c r="M304" s="681"/>
      <c r="N304" s="690"/>
    </row>
    <row r="305" spans="1:14">
      <c r="A305" s="776">
        <v>11.09</v>
      </c>
      <c r="B305" s="777" t="s">
        <v>487</v>
      </c>
      <c r="C305" s="776">
        <v>1</v>
      </c>
      <c r="D305" s="778" t="s">
        <v>52</v>
      </c>
      <c r="E305" s="779">
        <v>16939.810000000001</v>
      </c>
      <c r="F305" s="779">
        <v>16939.810000000001</v>
      </c>
      <c r="G305" s="677"/>
      <c r="H305" s="688"/>
      <c r="I305" s="688"/>
      <c r="J305" s="698"/>
      <c r="K305" s="681"/>
      <c r="L305" s="681"/>
      <c r="M305" s="681"/>
      <c r="N305" s="690"/>
    </row>
    <row r="306" spans="1:14">
      <c r="A306" s="752"/>
      <c r="B306" s="756" t="s">
        <v>39</v>
      </c>
      <c r="C306" s="757"/>
      <c r="D306" s="758"/>
      <c r="E306" s="759"/>
      <c r="F306" s="760">
        <f>SUM(F297:F305)</f>
        <v>233187.21000000002</v>
      </c>
      <c r="G306" s="677"/>
      <c r="H306" s="688"/>
      <c r="I306" s="688"/>
      <c r="J306" s="698"/>
      <c r="K306" s="681"/>
      <c r="L306" s="681"/>
      <c r="M306" s="681"/>
      <c r="N306" s="690"/>
    </row>
    <row r="307" spans="1:14" ht="39">
      <c r="A307" s="789" t="s">
        <v>148</v>
      </c>
      <c r="B307" s="790" t="s">
        <v>492</v>
      </c>
      <c r="C307" s="791"/>
      <c r="D307" s="792"/>
      <c r="E307" s="791"/>
      <c r="F307" s="793"/>
      <c r="G307" s="677"/>
      <c r="H307" s="688"/>
      <c r="I307" s="688"/>
      <c r="J307" s="698"/>
      <c r="K307" s="681"/>
      <c r="L307" s="681"/>
      <c r="M307" s="681"/>
      <c r="N307" s="690"/>
    </row>
    <row r="308" spans="1:14">
      <c r="A308" s="766">
        <v>1</v>
      </c>
      <c r="B308" s="762" t="s">
        <v>493</v>
      </c>
      <c r="C308" s="763"/>
      <c r="D308" s="764"/>
      <c r="E308" s="763"/>
      <c r="F308" s="765"/>
      <c r="G308" s="677"/>
      <c r="H308" s="688"/>
      <c r="I308" s="688"/>
      <c r="J308" s="698"/>
      <c r="K308" s="681"/>
      <c r="L308" s="681"/>
      <c r="M308" s="681"/>
      <c r="N308" s="690"/>
    </row>
    <row r="309" spans="1:14">
      <c r="A309" s="767">
        <v>1.01</v>
      </c>
      <c r="B309" s="768" t="s">
        <v>494</v>
      </c>
      <c r="C309" s="767">
        <v>841.25</v>
      </c>
      <c r="D309" s="769" t="s">
        <v>222</v>
      </c>
      <c r="E309" s="775">
        <v>664.74</v>
      </c>
      <c r="F309" s="770">
        <v>559212.53</v>
      </c>
      <c r="G309" s="677"/>
      <c r="H309" s="688"/>
      <c r="I309" s="688"/>
      <c r="J309" s="698"/>
      <c r="K309" s="681"/>
      <c r="L309" s="681"/>
      <c r="M309" s="681"/>
      <c r="N309" s="690"/>
    </row>
    <row r="310" spans="1:14">
      <c r="A310" s="767">
        <v>1.02</v>
      </c>
      <c r="B310" s="768" t="s">
        <v>495</v>
      </c>
      <c r="C310" s="767">
        <v>142.94999999999999</v>
      </c>
      <c r="D310" s="769" t="s">
        <v>38</v>
      </c>
      <c r="E310" s="775">
        <v>156.72</v>
      </c>
      <c r="F310" s="770">
        <v>22403.119999999999</v>
      </c>
      <c r="G310" s="677"/>
      <c r="H310" s="688"/>
      <c r="I310" s="688"/>
      <c r="J310" s="698"/>
      <c r="K310" s="681"/>
      <c r="L310" s="681"/>
      <c r="M310" s="681"/>
      <c r="N310" s="690"/>
    </row>
    <row r="311" spans="1:14">
      <c r="A311" s="767">
        <v>1.03</v>
      </c>
      <c r="B311" s="768" t="s">
        <v>496</v>
      </c>
      <c r="C311" s="767">
        <v>841.25</v>
      </c>
      <c r="D311" s="769" t="s">
        <v>222</v>
      </c>
      <c r="E311" s="775">
        <v>599.63</v>
      </c>
      <c r="F311" s="770">
        <v>504435.79</v>
      </c>
      <c r="G311" s="677"/>
      <c r="H311" s="688"/>
      <c r="I311" s="688"/>
      <c r="J311" s="698"/>
      <c r="K311" s="681"/>
      <c r="L311" s="681"/>
      <c r="M311" s="681"/>
      <c r="N311" s="690"/>
    </row>
    <row r="312" spans="1:14">
      <c r="A312" s="764"/>
      <c r="B312" s="771" t="s">
        <v>39</v>
      </c>
      <c r="C312" s="771"/>
      <c r="D312" s="772"/>
      <c r="E312" s="771"/>
      <c r="F312" s="773">
        <f>SUM(F309:F311)</f>
        <v>1086051.44</v>
      </c>
      <c r="G312" s="677"/>
      <c r="H312" s="688"/>
      <c r="I312" s="688"/>
      <c r="J312" s="698"/>
      <c r="K312" s="681"/>
      <c r="L312" s="681"/>
      <c r="M312" s="681"/>
      <c r="N312" s="690"/>
    </row>
    <row r="313" spans="1:14">
      <c r="A313" s="766">
        <v>2</v>
      </c>
      <c r="B313" s="762" t="s">
        <v>497</v>
      </c>
      <c r="C313" s="763"/>
      <c r="D313" s="764"/>
      <c r="E313" s="763"/>
      <c r="F313" s="765"/>
      <c r="G313" s="677"/>
      <c r="H313" s="688"/>
      <c r="I313" s="688"/>
      <c r="J313" s="698"/>
      <c r="K313" s="681"/>
      <c r="L313" s="681"/>
      <c r="M313" s="681"/>
      <c r="N313" s="690"/>
    </row>
    <row r="314" spans="1:14">
      <c r="A314" s="767">
        <v>2.0099999999999998</v>
      </c>
      <c r="B314" s="768" t="s">
        <v>498</v>
      </c>
      <c r="C314" s="774">
        <v>1658.4</v>
      </c>
      <c r="D314" s="769" t="s">
        <v>222</v>
      </c>
      <c r="E314" s="775">
        <v>300.42</v>
      </c>
      <c r="F314" s="770">
        <v>498216.53</v>
      </c>
      <c r="G314" s="677"/>
      <c r="H314" s="688"/>
      <c r="I314" s="688"/>
      <c r="J314" s="698"/>
      <c r="K314" s="681"/>
      <c r="L314" s="681"/>
      <c r="M314" s="681"/>
      <c r="N314" s="690"/>
    </row>
    <row r="315" spans="1:14">
      <c r="A315" s="764"/>
      <c r="B315" s="771" t="s">
        <v>39</v>
      </c>
      <c r="C315" s="771"/>
      <c r="D315" s="772"/>
      <c r="E315" s="771"/>
      <c r="F315" s="773">
        <f>F314</f>
        <v>498216.53</v>
      </c>
      <c r="G315" s="677"/>
      <c r="H315" s="688"/>
      <c r="I315" s="688"/>
      <c r="J315" s="698"/>
      <c r="K315" s="681"/>
      <c r="L315" s="681"/>
      <c r="M315" s="681"/>
      <c r="N315" s="690"/>
    </row>
    <row r="316" spans="1:14">
      <c r="A316" s="766">
        <v>3</v>
      </c>
      <c r="B316" s="762" t="s">
        <v>499</v>
      </c>
      <c r="C316" s="763"/>
      <c r="D316" s="764"/>
      <c r="E316" s="763"/>
      <c r="F316" s="765"/>
      <c r="G316" s="677"/>
      <c r="H316" s="688"/>
      <c r="I316" s="688"/>
      <c r="J316" s="698"/>
      <c r="K316" s="681"/>
      <c r="L316" s="681"/>
      <c r="M316" s="681"/>
      <c r="N316" s="690"/>
    </row>
    <row r="317" spans="1:14">
      <c r="A317" s="767">
        <v>3.01</v>
      </c>
      <c r="B317" s="768" t="s">
        <v>500</v>
      </c>
      <c r="C317" s="767">
        <v>1</v>
      </c>
      <c r="D317" s="769" t="s">
        <v>55</v>
      </c>
      <c r="E317" s="770">
        <v>150000</v>
      </c>
      <c r="F317" s="770">
        <v>150000</v>
      </c>
      <c r="G317" s="677">
        <v>1</v>
      </c>
      <c r="H317" s="688"/>
      <c r="I317" s="688">
        <f>+H317+G317</f>
        <v>1</v>
      </c>
      <c r="J317" s="689">
        <f t="shared" ref="J317:J318" si="119">I317/C317</f>
        <v>1</v>
      </c>
      <c r="K317" s="681">
        <f>+G317*E317</f>
        <v>150000</v>
      </c>
      <c r="L317" s="681">
        <f>+H317*E317</f>
        <v>0</v>
      </c>
      <c r="M317" s="681">
        <f>K317+L317</f>
        <v>150000</v>
      </c>
      <c r="N317" s="690"/>
    </row>
    <row r="318" spans="1:14">
      <c r="A318" s="767">
        <v>3.02</v>
      </c>
      <c r="B318" s="768" t="s">
        <v>501</v>
      </c>
      <c r="C318" s="767">
        <v>1</v>
      </c>
      <c r="D318" s="769" t="s">
        <v>55</v>
      </c>
      <c r="E318" s="770">
        <v>150000</v>
      </c>
      <c r="F318" s="770">
        <v>150000</v>
      </c>
      <c r="G318" s="677"/>
      <c r="H318" s="688">
        <v>1</v>
      </c>
      <c r="I318" s="688">
        <f>+H318+G318</f>
        <v>1</v>
      </c>
      <c r="J318" s="689">
        <f t="shared" si="119"/>
        <v>1</v>
      </c>
      <c r="K318" s="681">
        <f>+G318*E318</f>
        <v>0</v>
      </c>
      <c r="L318" s="681">
        <f>+H318*E318</f>
        <v>150000</v>
      </c>
      <c r="M318" s="681">
        <f>K318+L318</f>
        <v>150000</v>
      </c>
      <c r="N318" s="690"/>
    </row>
    <row r="319" spans="1:14">
      <c r="A319" s="767">
        <v>3.03</v>
      </c>
      <c r="B319" s="768" t="s">
        <v>502</v>
      </c>
      <c r="C319" s="767">
        <v>1</v>
      </c>
      <c r="D319" s="769" t="s">
        <v>55</v>
      </c>
      <c r="E319" s="770">
        <v>150000</v>
      </c>
      <c r="F319" s="770">
        <v>150000</v>
      </c>
      <c r="G319" s="677"/>
      <c r="H319" s="688"/>
      <c r="I319" s="688"/>
      <c r="J319" s="698"/>
      <c r="K319" s="703"/>
      <c r="L319" s="703"/>
      <c r="M319" s="703"/>
      <c r="N319" s="690"/>
    </row>
    <row r="320" spans="1:14">
      <c r="A320" s="764"/>
      <c r="B320" s="771" t="s">
        <v>39</v>
      </c>
      <c r="C320" s="771"/>
      <c r="D320" s="772"/>
      <c r="E320" s="771"/>
      <c r="F320" s="773">
        <f>SUM(F317:F319)</f>
        <v>450000</v>
      </c>
      <c r="G320" s="677"/>
      <c r="H320" s="688"/>
      <c r="I320" s="688"/>
      <c r="J320" s="698"/>
      <c r="K320" s="703">
        <f t="shared" ref="K320:M320" si="120">+SUBTOTAL(9,K315:K319)</f>
        <v>150000</v>
      </c>
      <c r="L320" s="703">
        <f t="shared" si="120"/>
        <v>150000</v>
      </c>
      <c r="M320" s="703">
        <f t="shared" si="120"/>
        <v>300000</v>
      </c>
      <c r="N320" s="690"/>
    </row>
    <row r="321" spans="1:14">
      <c r="A321" s="766">
        <v>4</v>
      </c>
      <c r="B321" s="762" t="s">
        <v>503</v>
      </c>
      <c r="C321" s="763"/>
      <c r="D321" s="764"/>
      <c r="E321" s="763"/>
      <c r="F321" s="765"/>
      <c r="G321" s="677"/>
      <c r="H321" s="688"/>
      <c r="I321" s="688"/>
      <c r="J321" s="698"/>
      <c r="K321" s="681"/>
      <c r="L321" s="681"/>
      <c r="M321" s="681"/>
      <c r="N321" s="690"/>
    </row>
    <row r="322" spans="1:14">
      <c r="A322" s="767">
        <v>4.01</v>
      </c>
      <c r="B322" s="768" t="s">
        <v>504</v>
      </c>
      <c r="C322" s="767">
        <v>2</v>
      </c>
      <c r="D322" s="769" t="s">
        <v>52</v>
      </c>
      <c r="E322" s="770">
        <v>1852500</v>
      </c>
      <c r="F322" s="770">
        <v>3705000</v>
      </c>
      <c r="G322" s="677"/>
      <c r="H322" s="688"/>
      <c r="I322" s="688"/>
      <c r="J322" s="698"/>
      <c r="K322" s="681"/>
      <c r="L322" s="681"/>
      <c r="M322" s="681"/>
      <c r="N322" s="690"/>
    </row>
    <row r="323" spans="1:14">
      <c r="A323" s="767">
        <v>4.0199999999999996</v>
      </c>
      <c r="B323" s="768" t="s">
        <v>505</v>
      </c>
      <c r="C323" s="767">
        <v>1</v>
      </c>
      <c r="D323" s="769" t="s">
        <v>55</v>
      </c>
      <c r="E323" s="770">
        <v>221000</v>
      </c>
      <c r="F323" s="770">
        <v>221000</v>
      </c>
      <c r="G323" s="677"/>
      <c r="H323" s="688"/>
      <c r="I323" s="688"/>
      <c r="J323" s="698"/>
      <c r="K323" s="681"/>
      <c r="L323" s="681"/>
      <c r="M323" s="681"/>
      <c r="N323" s="690"/>
    </row>
    <row r="324" spans="1:14" ht="38.25">
      <c r="A324" s="794">
        <v>4.03</v>
      </c>
      <c r="B324" s="777" t="s">
        <v>506</v>
      </c>
      <c r="C324" s="776">
        <v>1</v>
      </c>
      <c r="D324" s="778" t="s">
        <v>55</v>
      </c>
      <c r="E324" s="795">
        <v>500000</v>
      </c>
      <c r="F324" s="795">
        <v>500000</v>
      </c>
      <c r="G324" s="796"/>
      <c r="H324" s="797"/>
      <c r="I324" s="797"/>
      <c r="J324" s="798"/>
      <c r="K324" s="799"/>
      <c r="L324" s="799"/>
      <c r="M324" s="799"/>
      <c r="N324" s="690"/>
    </row>
    <row r="325" spans="1:14">
      <c r="A325" s="800"/>
      <c r="B325" s="756" t="s">
        <v>507</v>
      </c>
      <c r="C325" s="757"/>
      <c r="D325" s="758"/>
      <c r="E325" s="801"/>
      <c r="F325" s="802">
        <f>SUM(F322:F324)</f>
        <v>4426000</v>
      </c>
      <c r="G325" s="677"/>
      <c r="H325" s="688"/>
      <c r="I325" s="688"/>
      <c r="J325" s="698"/>
      <c r="K325" s="681"/>
      <c r="L325" s="681"/>
      <c r="M325" s="681"/>
      <c r="N325" s="690"/>
    </row>
    <row r="326" spans="1:14">
      <c r="A326" s="803"/>
      <c r="B326" s="206" t="s">
        <v>73</v>
      </c>
      <c r="C326" s="804"/>
      <c r="D326" s="803"/>
      <c r="E326" s="804"/>
      <c r="F326" s="805">
        <f>F325+F320+F315+F312+F306+F295+F280+F277+F273+F270+F265+F260+F252+F247+F244+F236+F225+F210+F207+F203+F200+F195+F190+F182+F174++F177+F166+F155+F140+F137+F133+F130+F125+F120+F112+F107+F104+F96+F85+F69+F66+F62+F54+F59+F41+F49+F36+F33+F23+F20+F15</f>
        <v>49164307.059999995</v>
      </c>
      <c r="G326" s="804"/>
      <c r="H326" s="804"/>
      <c r="I326" s="804"/>
      <c r="J326" s="804"/>
      <c r="K326" s="806">
        <f>+SUBTOTAL(9,K10:K325)</f>
        <v>17007933.003157988</v>
      </c>
      <c r="L326" s="806">
        <f>+SUBTOTAL(9,L10:L325)</f>
        <v>8685003.7195419986</v>
      </c>
      <c r="M326" s="806">
        <f>+SUBTOTAL(9,M10:M325)</f>
        <v>25487154.554699998</v>
      </c>
      <c r="N326" s="690"/>
    </row>
    <row r="327" spans="1:14">
      <c r="A327" s="807"/>
      <c r="B327" s="318"/>
      <c r="C327" s="324"/>
      <c r="D327" s="807"/>
      <c r="E327" s="324"/>
      <c r="F327" s="808"/>
      <c r="G327" s="324"/>
      <c r="H327" s="324"/>
      <c r="I327" s="324"/>
      <c r="J327" s="324"/>
      <c r="K327" s="324"/>
      <c r="L327" s="324"/>
      <c r="M327" s="324"/>
      <c r="N327" s="324"/>
    </row>
    <row r="328" spans="1:14">
      <c r="A328" s="807"/>
      <c r="B328" s="1203" t="s">
        <v>508</v>
      </c>
      <c r="C328" s="1203"/>
      <c r="D328" s="1203"/>
      <c r="E328" s="1203"/>
      <c r="F328" s="1203"/>
      <c r="G328" s="1203"/>
      <c r="H328" s="324"/>
      <c r="I328" s="324"/>
      <c r="J328" s="324"/>
      <c r="K328" s="324"/>
      <c r="L328" s="324"/>
      <c r="M328" s="324"/>
      <c r="N328" s="324"/>
    </row>
    <row r="329" spans="1:14" ht="24">
      <c r="A329" s="809"/>
      <c r="B329" s="809" t="s">
        <v>509</v>
      </c>
      <c r="C329" s="810"/>
      <c r="D329" s="809"/>
      <c r="E329" s="810"/>
      <c r="F329" s="811"/>
      <c r="G329" s="275" t="s">
        <v>25</v>
      </c>
      <c r="H329" s="275" t="s">
        <v>26</v>
      </c>
      <c r="I329" s="812" t="s">
        <v>27</v>
      </c>
      <c r="J329" s="277" t="s">
        <v>28</v>
      </c>
      <c r="K329" s="278" t="s">
        <v>25</v>
      </c>
      <c r="L329" s="279" t="s">
        <v>26</v>
      </c>
      <c r="M329" s="279" t="s">
        <v>27</v>
      </c>
      <c r="N329" s="324"/>
    </row>
    <row r="330" spans="1:14" ht="24.75">
      <c r="A330" s="272" t="s">
        <v>19</v>
      </c>
      <c r="B330" s="272" t="s">
        <v>20</v>
      </c>
      <c r="C330" s="272" t="s">
        <v>52</v>
      </c>
      <c r="D330" s="272" t="s">
        <v>90</v>
      </c>
      <c r="E330" s="272" t="s">
        <v>349</v>
      </c>
      <c r="F330" s="813" t="s">
        <v>24</v>
      </c>
      <c r="G330" s="814"/>
      <c r="H330" s="814"/>
      <c r="I330" s="814"/>
      <c r="J330" s="814"/>
      <c r="K330" s="815"/>
      <c r="L330" s="815"/>
      <c r="M330" s="815"/>
      <c r="N330" s="324"/>
    </row>
    <row r="331" spans="1:14">
      <c r="A331" s="272"/>
      <c r="B331" s="272" t="s">
        <v>510</v>
      </c>
      <c r="C331" s="272"/>
      <c r="D331" s="272"/>
      <c r="E331" s="272"/>
      <c r="F331" s="813"/>
      <c r="G331" s="814"/>
      <c r="H331" s="814"/>
      <c r="I331" s="814"/>
      <c r="J331" s="814"/>
      <c r="K331" s="815"/>
      <c r="L331" s="815"/>
      <c r="M331" s="815"/>
      <c r="N331" s="324"/>
    </row>
    <row r="332" spans="1:14">
      <c r="A332" s="816">
        <v>1</v>
      </c>
      <c r="B332" s="817" t="s">
        <v>511</v>
      </c>
      <c r="C332" s="818"/>
      <c r="D332" s="819"/>
      <c r="E332" s="818"/>
      <c r="F332" s="820"/>
      <c r="G332" s="821"/>
      <c r="H332" s="821"/>
      <c r="I332" s="821"/>
      <c r="J332" s="821"/>
      <c r="K332" s="822"/>
      <c r="L332" s="822"/>
      <c r="M332" s="822"/>
      <c r="N332" s="324"/>
    </row>
    <row r="333" spans="1:14">
      <c r="A333" s="823">
        <v>1.01</v>
      </c>
      <c r="B333" s="824" t="s">
        <v>434</v>
      </c>
      <c r="C333" s="825">
        <f>[1]Hoja2!D72-'[1]CUB 3'!C31</f>
        <v>101.30875</v>
      </c>
      <c r="D333" s="826" t="s">
        <v>45</v>
      </c>
      <c r="E333" s="827">
        <v>21597.32</v>
      </c>
      <c r="F333" s="828">
        <f>C333*E333</f>
        <v>2187997.4925500001</v>
      </c>
      <c r="G333" s="677">
        <v>101.30875</v>
      </c>
      <c r="H333" s="677"/>
      <c r="I333" s="688">
        <f>G333+H333</f>
        <v>101.30875</v>
      </c>
      <c r="J333" s="689">
        <f>I333/C333</f>
        <v>1</v>
      </c>
      <c r="K333" s="681">
        <f>G333*E333</f>
        <v>2187997.4925500001</v>
      </c>
      <c r="L333" s="681">
        <f>H333*E333</f>
        <v>0</v>
      </c>
      <c r="M333" s="829">
        <f>K333+L333</f>
        <v>2187997.4925500001</v>
      </c>
      <c r="N333" s="324"/>
    </row>
    <row r="334" spans="1:14">
      <c r="A334" s="823">
        <v>1.02</v>
      </c>
      <c r="B334" s="824" t="s">
        <v>512</v>
      </c>
      <c r="C334" s="825">
        <f>[1]Hoja2!M20</f>
        <v>55.187925</v>
      </c>
      <c r="D334" s="826" t="s">
        <v>45</v>
      </c>
      <c r="E334" s="827">
        <f>[1]Hoja2!H117</f>
        <v>5305.65</v>
      </c>
      <c r="F334" s="828">
        <f>C334*E334</f>
        <v>292807.81427624996</v>
      </c>
      <c r="G334" s="677">
        <v>55.187925</v>
      </c>
      <c r="H334" s="677"/>
      <c r="I334" s="688">
        <f>G334+H334</f>
        <v>55.187925</v>
      </c>
      <c r="J334" s="689">
        <f>I334/C334</f>
        <v>1</v>
      </c>
      <c r="K334" s="681">
        <f>G334*E334</f>
        <v>292807.81427624996</v>
      </c>
      <c r="L334" s="681">
        <f>H334*E334</f>
        <v>0</v>
      </c>
      <c r="M334" s="829">
        <f>K334+L334</f>
        <v>292807.81427624996</v>
      </c>
      <c r="N334" s="324"/>
    </row>
    <row r="335" spans="1:14">
      <c r="A335" s="823"/>
      <c r="B335" s="830" t="s">
        <v>39</v>
      </c>
      <c r="C335" s="825"/>
      <c r="D335" s="826"/>
      <c r="E335" s="827"/>
      <c r="F335" s="831">
        <f>SUM(F333)</f>
        <v>2187997.4925500001</v>
      </c>
      <c r="G335" s="821"/>
      <c r="H335" s="821"/>
      <c r="I335" s="821"/>
      <c r="J335" s="821"/>
      <c r="K335" s="703">
        <f>+SUBTOTAL(9,K333:K334)</f>
        <v>2480805.3068262502</v>
      </c>
      <c r="L335" s="703">
        <f t="shared" ref="L335:M335" si="121">+SUBTOTAL(9,L333:L334)</f>
        <v>0</v>
      </c>
      <c r="M335" s="703">
        <f t="shared" si="121"/>
        <v>2480805.3068262502</v>
      </c>
      <c r="N335" s="324"/>
    </row>
    <row r="336" spans="1:14">
      <c r="A336" s="816">
        <v>2</v>
      </c>
      <c r="B336" s="830" t="s">
        <v>513</v>
      </c>
      <c r="C336" s="825"/>
      <c r="D336" s="826"/>
      <c r="E336" s="827"/>
      <c r="F336" s="828"/>
      <c r="G336" s="821"/>
      <c r="H336" s="821"/>
      <c r="I336" s="821"/>
      <c r="J336" s="821"/>
      <c r="K336" s="822"/>
      <c r="L336" s="822"/>
      <c r="M336" s="822"/>
      <c r="N336" s="324"/>
    </row>
    <row r="337" spans="1:14">
      <c r="A337" s="823">
        <f>A336+0.01</f>
        <v>2.0099999999999998</v>
      </c>
      <c r="B337" s="824" t="s">
        <v>514</v>
      </c>
      <c r="C337" s="825">
        <v>1</v>
      </c>
      <c r="D337" s="826" t="s">
        <v>515</v>
      </c>
      <c r="E337" s="827">
        <v>20000</v>
      </c>
      <c r="F337" s="828">
        <f>C337*E337</f>
        <v>20000</v>
      </c>
      <c r="G337" s="677">
        <v>1</v>
      </c>
      <c r="H337" s="677"/>
      <c r="I337" s="688">
        <f>G337+H337</f>
        <v>1</v>
      </c>
      <c r="J337" s="689">
        <f>I337/C337</f>
        <v>1</v>
      </c>
      <c r="K337" s="681">
        <f>G337*E337</f>
        <v>20000</v>
      </c>
      <c r="L337" s="681">
        <f>H337*E337</f>
        <v>0</v>
      </c>
      <c r="M337" s="829">
        <f>K337+L337</f>
        <v>20000</v>
      </c>
      <c r="N337" s="324"/>
    </row>
    <row r="338" spans="1:14">
      <c r="A338" s="823">
        <f t="shared" ref="A338" si="122">A337+0.01</f>
        <v>2.0199999999999996</v>
      </c>
      <c r="B338" s="824" t="s">
        <v>516</v>
      </c>
      <c r="C338" s="825">
        <v>1</v>
      </c>
      <c r="D338" s="826" t="s">
        <v>515</v>
      </c>
      <c r="E338" s="827">
        <v>88387.44</v>
      </c>
      <c r="F338" s="828">
        <f t="shared" ref="F338:F340" si="123">C338*E338</f>
        <v>88387.44</v>
      </c>
      <c r="G338" s="677">
        <v>1</v>
      </c>
      <c r="H338" s="677"/>
      <c r="I338" s="688">
        <f>G338+H338</f>
        <v>1</v>
      </c>
      <c r="J338" s="689">
        <f>I338/C338</f>
        <v>1</v>
      </c>
      <c r="K338" s="681">
        <f>G338*E338</f>
        <v>88387.44</v>
      </c>
      <c r="L338" s="681">
        <f>H338*E338</f>
        <v>0</v>
      </c>
      <c r="M338" s="829">
        <f>K338+L338</f>
        <v>88387.44</v>
      </c>
      <c r="N338" s="324"/>
    </row>
    <row r="339" spans="1:14">
      <c r="A339" s="823">
        <f>A338+0.01</f>
        <v>2.0299999999999994</v>
      </c>
      <c r="B339" s="824" t="s">
        <v>517</v>
      </c>
      <c r="C339" s="825">
        <v>1</v>
      </c>
      <c r="D339" s="826" t="s">
        <v>515</v>
      </c>
      <c r="E339" s="832">
        <v>152290.26999999999</v>
      </c>
      <c r="F339" s="828">
        <f t="shared" si="123"/>
        <v>152290.26999999999</v>
      </c>
      <c r="G339" s="677">
        <v>1</v>
      </c>
      <c r="H339" s="677"/>
      <c r="I339" s="688">
        <f>G339+H339</f>
        <v>1</v>
      </c>
      <c r="J339" s="689">
        <f>I339/C339</f>
        <v>1</v>
      </c>
      <c r="K339" s="681">
        <f>G339*E339</f>
        <v>152290.26999999999</v>
      </c>
      <c r="L339" s="681">
        <f>H339*E339</f>
        <v>0</v>
      </c>
      <c r="M339" s="829">
        <f>K339+L339</f>
        <v>152290.26999999999</v>
      </c>
      <c r="N339" s="324"/>
    </row>
    <row r="340" spans="1:14">
      <c r="A340" s="823">
        <f>A339+0.01</f>
        <v>2.0399999999999991</v>
      </c>
      <c r="B340" s="824" t="s">
        <v>518</v>
      </c>
      <c r="C340" s="833">
        <f>[1]Hoja2!M15</f>
        <v>1596.32</v>
      </c>
      <c r="D340" s="832" t="s">
        <v>45</v>
      </c>
      <c r="E340" s="827">
        <v>351.21</v>
      </c>
      <c r="F340" s="828">
        <f t="shared" si="123"/>
        <v>560643.54719999991</v>
      </c>
      <c r="G340" s="677">
        <v>1596.32</v>
      </c>
      <c r="H340" s="677"/>
      <c r="I340" s="688">
        <f>G340+H340</f>
        <v>1596.32</v>
      </c>
      <c r="J340" s="689">
        <f>I340/C340</f>
        <v>1</v>
      </c>
      <c r="K340" s="681">
        <f>G340*E340</f>
        <v>560643.54719999991</v>
      </c>
      <c r="L340" s="681">
        <f>H340*E340</f>
        <v>0</v>
      </c>
      <c r="M340" s="829">
        <f>K340+L340</f>
        <v>560643.54719999991</v>
      </c>
      <c r="N340" s="324"/>
    </row>
    <row r="341" spans="1:14">
      <c r="A341" s="834"/>
      <c r="B341" s="830" t="s">
        <v>39</v>
      </c>
      <c r="C341" s="825"/>
      <c r="D341" s="826"/>
      <c r="E341" s="827"/>
      <c r="F341" s="831">
        <f>SUM(F337:F339)</f>
        <v>260677.71</v>
      </c>
      <c r="G341" s="835"/>
      <c r="H341" s="835"/>
      <c r="I341" s="835"/>
      <c r="J341" s="835"/>
      <c r="K341" s="703">
        <f>+SUBTOTAL(9,K337:K340)</f>
        <v>821321.25719999988</v>
      </c>
      <c r="L341" s="703">
        <f t="shared" ref="L341:M341" si="124">+SUBTOTAL(9,L337:L340)</f>
        <v>0</v>
      </c>
      <c r="M341" s="703">
        <f t="shared" si="124"/>
        <v>821321.25719999988</v>
      </c>
      <c r="N341" s="324"/>
    </row>
    <row r="342" spans="1:14">
      <c r="A342" s="836">
        <v>3</v>
      </c>
      <c r="B342" s="830" t="s">
        <v>519</v>
      </c>
      <c r="C342" s="825"/>
      <c r="D342" s="826"/>
      <c r="E342" s="827"/>
      <c r="F342" s="828"/>
      <c r="G342" s="821"/>
      <c r="H342" s="821"/>
      <c r="I342" s="821"/>
      <c r="J342" s="821"/>
      <c r="K342" s="822"/>
      <c r="L342" s="822"/>
      <c r="M342" s="822"/>
      <c r="N342" s="324"/>
    </row>
    <row r="343" spans="1:14" ht="26.25">
      <c r="A343" s="834">
        <f>A342+0.01</f>
        <v>3.01</v>
      </c>
      <c r="B343" s="824" t="s">
        <v>520</v>
      </c>
      <c r="C343" s="833">
        <f>[1]Hoja2!H7</f>
        <v>4182.2950949999995</v>
      </c>
      <c r="D343" s="832" t="s">
        <v>45</v>
      </c>
      <c r="E343" s="827">
        <v>201.46</v>
      </c>
      <c r="F343" s="828">
        <f t="shared" ref="F343:F345" si="125">C343*E343</f>
        <v>842565.16983869998</v>
      </c>
      <c r="G343" s="837">
        <v>4182.2950949999995</v>
      </c>
      <c r="H343" s="837"/>
      <c r="I343" s="688">
        <f>G343+H343</f>
        <v>4182.2950949999995</v>
      </c>
      <c r="J343" s="689">
        <f>I343/C343</f>
        <v>1</v>
      </c>
      <c r="K343" s="681">
        <f>G343*E343</f>
        <v>842565.16983869998</v>
      </c>
      <c r="L343" s="681">
        <f>H343*E343</f>
        <v>0</v>
      </c>
      <c r="M343" s="829">
        <f>K343+L343</f>
        <v>842565.16983869998</v>
      </c>
      <c r="N343" s="324"/>
    </row>
    <row r="344" spans="1:14" ht="26.25">
      <c r="A344" s="838">
        <f>A343+0.01</f>
        <v>3.0199999999999996</v>
      </c>
      <c r="B344" s="824" t="s">
        <v>521</v>
      </c>
      <c r="C344" s="833">
        <f>[1]Hoja2!G16</f>
        <v>6598.6636234999996</v>
      </c>
      <c r="D344" s="832" t="s">
        <v>45</v>
      </c>
      <c r="E344" s="827">
        <v>351.21</v>
      </c>
      <c r="F344" s="828">
        <f t="shared" si="125"/>
        <v>2317516.651209435</v>
      </c>
      <c r="G344" s="837">
        <v>6598.6636234999996</v>
      </c>
      <c r="H344" s="837"/>
      <c r="I344" s="688">
        <f>G344+H344</f>
        <v>6598.6636234999996</v>
      </c>
      <c r="J344" s="689">
        <f>I344/C344</f>
        <v>1</v>
      </c>
      <c r="K344" s="681">
        <f>G344*E344</f>
        <v>2317516.651209435</v>
      </c>
      <c r="L344" s="681">
        <f>H344*E344</f>
        <v>0</v>
      </c>
      <c r="M344" s="829">
        <f>K344+L344</f>
        <v>2317516.651209435</v>
      </c>
      <c r="N344" s="324"/>
    </row>
    <row r="345" spans="1:14">
      <c r="A345" s="834">
        <f>A344+0.01</f>
        <v>3.0299999999999994</v>
      </c>
      <c r="B345" s="824" t="s">
        <v>522</v>
      </c>
      <c r="C345" s="833">
        <f>[1]Hoja2!L7</f>
        <v>1373.4342764999999</v>
      </c>
      <c r="D345" s="832" t="s">
        <v>45</v>
      </c>
      <c r="E345" s="827">
        <v>1480.1</v>
      </c>
      <c r="F345" s="828">
        <f t="shared" si="125"/>
        <v>2032820.0726476498</v>
      </c>
      <c r="G345" s="837">
        <v>1373.4342764999999</v>
      </c>
      <c r="H345" s="837"/>
      <c r="I345" s="688">
        <f>G345+H345</f>
        <v>1373.4342764999999</v>
      </c>
      <c r="J345" s="689">
        <f>I345/C345</f>
        <v>1</v>
      </c>
      <c r="K345" s="681">
        <f>G345*E345</f>
        <v>2032820.0726476498</v>
      </c>
      <c r="L345" s="681">
        <f>H345*E345</f>
        <v>0</v>
      </c>
      <c r="M345" s="829">
        <f>K345+L345</f>
        <v>2032820.0726476498</v>
      </c>
      <c r="N345" s="324"/>
    </row>
    <row r="346" spans="1:14">
      <c r="A346" s="834"/>
      <c r="B346" s="817" t="s">
        <v>39</v>
      </c>
      <c r="C346" s="839"/>
      <c r="D346" s="840"/>
      <c r="E346" s="841"/>
      <c r="F346" s="842">
        <f>SUM(F343:F345)</f>
        <v>5192901.8936957847</v>
      </c>
      <c r="G346" s="835"/>
      <c r="H346" s="835"/>
      <c r="I346" s="835"/>
      <c r="J346" s="835"/>
      <c r="K346" s="703">
        <f>+SUBTOTAL(9,K343:K345)</f>
        <v>5192901.8936957847</v>
      </c>
      <c r="L346" s="703">
        <f t="shared" ref="L346:M346" si="126">+SUBTOTAL(9,L343:L345)</f>
        <v>0</v>
      </c>
      <c r="M346" s="703">
        <f t="shared" si="126"/>
        <v>5192901.8936957847</v>
      </c>
      <c r="N346" s="324"/>
    </row>
    <row r="347" spans="1:14">
      <c r="A347" s="816">
        <v>4</v>
      </c>
      <c r="B347" s="830" t="s">
        <v>523</v>
      </c>
      <c r="C347" s="839"/>
      <c r="D347" s="840"/>
      <c r="E347" s="841"/>
      <c r="F347" s="843"/>
      <c r="G347" s="821"/>
      <c r="H347" s="821"/>
      <c r="I347" s="821"/>
      <c r="J347" s="821"/>
      <c r="K347" s="822"/>
      <c r="L347" s="822"/>
      <c r="M347" s="822"/>
      <c r="N347" s="324"/>
    </row>
    <row r="348" spans="1:14">
      <c r="A348" s="834">
        <f>A347+0.01</f>
        <v>4.01</v>
      </c>
      <c r="B348" s="824" t="s">
        <v>524</v>
      </c>
      <c r="C348" s="839">
        <f>[1]Hoja2!D79</f>
        <v>8.4</v>
      </c>
      <c r="D348" s="832" t="s">
        <v>45</v>
      </c>
      <c r="E348" s="841">
        <v>21597.32</v>
      </c>
      <c r="F348" s="828">
        <f t="shared" ref="F348:F349" si="127">C348*E348</f>
        <v>181417.48800000001</v>
      </c>
      <c r="G348" s="837">
        <v>8.4</v>
      </c>
      <c r="H348" s="837"/>
      <c r="I348" s="688">
        <f>G348+H348</f>
        <v>8.4</v>
      </c>
      <c r="J348" s="689">
        <f>I348/C348</f>
        <v>1</v>
      </c>
      <c r="K348" s="681">
        <f>G348*E348</f>
        <v>181417.48800000001</v>
      </c>
      <c r="L348" s="681">
        <f>H348*E348</f>
        <v>0</v>
      </c>
      <c r="M348" s="829">
        <f>K348+L348</f>
        <v>181417.48800000001</v>
      </c>
      <c r="N348" s="324"/>
    </row>
    <row r="349" spans="1:14">
      <c r="A349" s="834">
        <f>A348+0.01</f>
        <v>4.0199999999999996</v>
      </c>
      <c r="B349" s="818" t="s">
        <v>525</v>
      </c>
      <c r="C349" s="839">
        <f>[1]Hoja2!D84</f>
        <v>3.39</v>
      </c>
      <c r="D349" s="832" t="s">
        <v>45</v>
      </c>
      <c r="E349" s="841">
        <v>17130.810000000001</v>
      </c>
      <c r="F349" s="828">
        <f t="shared" si="127"/>
        <v>58073.445900000006</v>
      </c>
      <c r="G349" s="837">
        <v>3.39</v>
      </c>
      <c r="H349" s="837"/>
      <c r="I349" s="688">
        <f>G349+H349</f>
        <v>3.39</v>
      </c>
      <c r="J349" s="689">
        <f>I349/C349</f>
        <v>1</v>
      </c>
      <c r="K349" s="681">
        <f>G349*E349</f>
        <v>58073.445900000006</v>
      </c>
      <c r="L349" s="681">
        <f>H349*E349</f>
        <v>0</v>
      </c>
      <c r="M349" s="829">
        <f>K349+L349</f>
        <v>58073.445900000006</v>
      </c>
      <c r="N349" s="324"/>
    </row>
    <row r="350" spans="1:14">
      <c r="A350" s="834"/>
      <c r="B350" s="817" t="s">
        <v>39</v>
      </c>
      <c r="C350" s="839"/>
      <c r="D350" s="840"/>
      <c r="E350" s="841"/>
      <c r="F350" s="844">
        <f>SUM(F348:F349)</f>
        <v>239490.9339</v>
      </c>
      <c r="G350" s="835"/>
      <c r="H350" s="835"/>
      <c r="I350" s="835"/>
      <c r="J350" s="835"/>
      <c r="K350" s="703">
        <f>+SUBTOTAL(9,K347:K349)</f>
        <v>239490.9339</v>
      </c>
      <c r="L350" s="703">
        <f>+SUBTOTAL(9,L347:L349)</f>
        <v>0</v>
      </c>
      <c r="M350" s="703">
        <f>+SUBTOTAL(9,M347:M349)</f>
        <v>239490.9339</v>
      </c>
      <c r="N350" s="324"/>
    </row>
    <row r="351" spans="1:14">
      <c r="A351" s="816">
        <v>5</v>
      </c>
      <c r="B351" s="830" t="s">
        <v>526</v>
      </c>
      <c r="C351" s="818"/>
      <c r="D351" s="819"/>
      <c r="E351" s="845"/>
      <c r="F351" s="846"/>
      <c r="G351" s="821"/>
      <c r="H351" s="821"/>
      <c r="I351" s="821"/>
      <c r="J351" s="821"/>
      <c r="K351" s="822"/>
      <c r="L351" s="822"/>
      <c r="M351" s="822"/>
      <c r="N351" s="324"/>
    </row>
    <row r="352" spans="1:14">
      <c r="A352" s="823">
        <f>A351+0.01</f>
        <v>5.01</v>
      </c>
      <c r="B352" s="824" t="s">
        <v>524</v>
      </c>
      <c r="C352" s="818">
        <f>[1]Hoja2!D80</f>
        <v>9.870000000000001</v>
      </c>
      <c r="D352" s="832" t="s">
        <v>45</v>
      </c>
      <c r="E352" s="845">
        <v>21597.32</v>
      </c>
      <c r="F352" s="828">
        <f t="shared" ref="F352:F354" si="128">C352*E352</f>
        <v>213165.54840000003</v>
      </c>
      <c r="G352" s="837">
        <v>9.870000000000001</v>
      </c>
      <c r="H352" s="837"/>
      <c r="I352" s="688">
        <f>G352+H352</f>
        <v>9.870000000000001</v>
      </c>
      <c r="J352" s="689">
        <f>I352/C352</f>
        <v>1</v>
      </c>
      <c r="K352" s="681">
        <f>G352*E352</f>
        <v>213165.54840000003</v>
      </c>
      <c r="L352" s="681">
        <f>H352*E352</f>
        <v>0</v>
      </c>
      <c r="M352" s="829">
        <f>K352+L352</f>
        <v>213165.54840000003</v>
      </c>
      <c r="N352" s="324"/>
    </row>
    <row r="353" spans="1:14">
      <c r="A353" s="823">
        <f>A352+0.01</f>
        <v>5.0199999999999996</v>
      </c>
      <c r="B353" s="818" t="s">
        <v>525</v>
      </c>
      <c r="C353" s="818">
        <f>[1]Hoja2!D87</f>
        <v>0.91499999999999992</v>
      </c>
      <c r="D353" s="832" t="s">
        <v>45</v>
      </c>
      <c r="E353" s="845">
        <v>17130.810000000001</v>
      </c>
      <c r="F353" s="828">
        <f t="shared" si="128"/>
        <v>15674.691150000001</v>
      </c>
      <c r="G353" s="837">
        <v>0.91499999999999992</v>
      </c>
      <c r="H353" s="837"/>
      <c r="I353" s="688">
        <f>G353+H353</f>
        <v>0.91499999999999992</v>
      </c>
      <c r="J353" s="689">
        <f>I353/C353</f>
        <v>1</v>
      </c>
      <c r="K353" s="681">
        <f>G353*E353</f>
        <v>15674.691150000001</v>
      </c>
      <c r="L353" s="681">
        <f>H353*E353</f>
        <v>0</v>
      </c>
      <c r="M353" s="829">
        <f>K353+L353</f>
        <v>15674.691150000001</v>
      </c>
      <c r="N353" s="324"/>
    </row>
    <row r="354" spans="1:14">
      <c r="A354" s="823">
        <f>A353+0.01</f>
        <v>5.0299999999999994</v>
      </c>
      <c r="B354" s="818" t="s">
        <v>527</v>
      </c>
      <c r="C354" s="818">
        <f>[1]Hoja2!D89</f>
        <v>2.2250000000000001</v>
      </c>
      <c r="D354" s="832" t="s">
        <v>45</v>
      </c>
      <c r="E354" s="845">
        <v>30028.76</v>
      </c>
      <c r="F354" s="828">
        <f t="shared" si="128"/>
        <v>66813.990999999995</v>
      </c>
      <c r="G354" s="837">
        <v>2.2250000000000001</v>
      </c>
      <c r="H354" s="837"/>
      <c r="I354" s="688">
        <f>G354+H354</f>
        <v>2.2250000000000001</v>
      </c>
      <c r="J354" s="689">
        <f>I354/C354</f>
        <v>1</v>
      </c>
      <c r="K354" s="681">
        <f>G354*E354</f>
        <v>66813.990999999995</v>
      </c>
      <c r="L354" s="681">
        <f>H354*E354</f>
        <v>0</v>
      </c>
      <c r="M354" s="829">
        <f>K354+L354</f>
        <v>66813.990999999995</v>
      </c>
      <c r="N354" s="324"/>
    </row>
    <row r="355" spans="1:14">
      <c r="A355" s="823"/>
      <c r="B355" s="817" t="s">
        <v>39</v>
      </c>
      <c r="C355" s="818"/>
      <c r="D355" s="819"/>
      <c r="E355" s="818"/>
      <c r="F355" s="844">
        <f>SUM(F352:F354)</f>
        <v>295654.23055000004</v>
      </c>
      <c r="G355" s="837"/>
      <c r="H355" s="837"/>
      <c r="I355" s="688"/>
      <c r="J355" s="689"/>
      <c r="K355" s="703">
        <f>+SUBTOTAL(9,K352:K354)</f>
        <v>295654.23055000004</v>
      </c>
      <c r="L355" s="703">
        <f t="shared" ref="L355:M355" si="129">+SUBTOTAL(9,L352:L354)</f>
        <v>0</v>
      </c>
      <c r="M355" s="703">
        <f t="shared" si="129"/>
        <v>295654.23055000004</v>
      </c>
      <c r="N355" s="324"/>
    </row>
    <row r="356" spans="1:14" ht="26.25">
      <c r="A356" s="816">
        <v>6</v>
      </c>
      <c r="B356" s="817" t="s">
        <v>528</v>
      </c>
      <c r="C356" s="818"/>
      <c r="D356" s="819"/>
      <c r="E356" s="818"/>
      <c r="F356" s="842"/>
      <c r="G356" s="837"/>
      <c r="H356" s="837"/>
      <c r="I356" s="688"/>
      <c r="J356" s="689"/>
      <c r="K356" s="847"/>
      <c r="L356" s="848"/>
      <c r="M356" s="848"/>
      <c r="N356" s="324"/>
    </row>
    <row r="357" spans="1:14">
      <c r="A357" s="823">
        <f>A356+0.01</f>
        <v>6.01</v>
      </c>
      <c r="B357" s="818" t="s">
        <v>529</v>
      </c>
      <c r="C357" s="818">
        <v>1</v>
      </c>
      <c r="D357" s="819" t="s">
        <v>515</v>
      </c>
      <c r="E357" s="845">
        <v>3150000</v>
      </c>
      <c r="F357" s="849">
        <f t="shared" ref="F357:F359" si="130">C357*E357</f>
        <v>3150000</v>
      </c>
      <c r="G357" s="837">
        <v>1</v>
      </c>
      <c r="H357" s="837"/>
      <c r="I357" s="688">
        <f t="shared" ref="I357:I359" si="131">G357+H357</f>
        <v>1</v>
      </c>
      <c r="J357" s="689">
        <f t="shared" ref="J357:J359" si="132">I357/C357</f>
        <v>1</v>
      </c>
      <c r="K357" s="681">
        <f>G357*E357</f>
        <v>3150000</v>
      </c>
      <c r="L357" s="681">
        <v>0</v>
      </c>
      <c r="M357" s="829">
        <f>K357+L357</f>
        <v>3150000</v>
      </c>
      <c r="N357" s="324"/>
    </row>
    <row r="358" spans="1:14">
      <c r="A358" s="823">
        <f t="shared" ref="A358:A359" si="133">A357+0.01</f>
        <v>6.02</v>
      </c>
      <c r="B358" s="818" t="s">
        <v>530</v>
      </c>
      <c r="C358" s="818">
        <v>1</v>
      </c>
      <c r="D358" s="819" t="s">
        <v>515</v>
      </c>
      <c r="E358" s="845">
        <v>75000</v>
      </c>
      <c r="F358" s="849">
        <f t="shared" si="130"/>
        <v>75000</v>
      </c>
      <c r="G358" s="837">
        <v>1</v>
      </c>
      <c r="H358" s="837"/>
      <c r="I358" s="688">
        <f t="shared" si="131"/>
        <v>1</v>
      </c>
      <c r="J358" s="689">
        <f t="shared" si="132"/>
        <v>1</v>
      </c>
      <c r="K358" s="681">
        <f>G358*E358</f>
        <v>75000</v>
      </c>
      <c r="L358" s="681">
        <v>0</v>
      </c>
      <c r="M358" s="829">
        <f t="shared" ref="M358:M359" si="134">K358+L358</f>
        <v>75000</v>
      </c>
      <c r="N358" s="324"/>
    </row>
    <row r="359" spans="1:14" ht="26.25">
      <c r="A359" s="823">
        <f t="shared" si="133"/>
        <v>6.0299999999999994</v>
      </c>
      <c r="B359" s="818" t="s">
        <v>531</v>
      </c>
      <c r="C359" s="818">
        <v>1</v>
      </c>
      <c r="D359" s="819" t="s">
        <v>515</v>
      </c>
      <c r="E359" s="845">
        <v>750000</v>
      </c>
      <c r="F359" s="849">
        <f t="shared" si="130"/>
        <v>750000</v>
      </c>
      <c r="G359" s="837">
        <v>0.15</v>
      </c>
      <c r="H359" s="837">
        <v>0.4</v>
      </c>
      <c r="I359" s="688">
        <f t="shared" si="131"/>
        <v>0.55000000000000004</v>
      </c>
      <c r="J359" s="689">
        <f t="shared" si="132"/>
        <v>0.55000000000000004</v>
      </c>
      <c r="K359" s="681">
        <f>G359*E359</f>
        <v>112500</v>
      </c>
      <c r="L359" s="681">
        <v>225000</v>
      </c>
      <c r="M359" s="829">
        <f t="shared" si="134"/>
        <v>337500</v>
      </c>
      <c r="N359" s="324"/>
    </row>
    <row r="360" spans="1:14">
      <c r="A360" s="850"/>
      <c r="B360" s="817" t="s">
        <v>39</v>
      </c>
      <c r="C360" s="818"/>
      <c r="D360" s="819"/>
      <c r="E360" s="845"/>
      <c r="F360" s="851">
        <f>SUM(F357:F359)</f>
        <v>3975000</v>
      </c>
      <c r="G360" s="835"/>
      <c r="H360" s="835"/>
      <c r="I360" s="835"/>
      <c r="J360" s="835"/>
      <c r="K360" s="703">
        <f>+SUBTOTAL(9,K357:K359)</f>
        <v>3337500</v>
      </c>
      <c r="L360" s="703">
        <f t="shared" ref="L360:M360" si="135">+SUBTOTAL(9,L357:L359)</f>
        <v>225000</v>
      </c>
      <c r="M360" s="703">
        <f t="shared" si="135"/>
        <v>3562500</v>
      </c>
      <c r="N360" s="324"/>
    </row>
    <row r="361" spans="1:14">
      <c r="A361" s="852"/>
      <c r="B361" s="91" t="s">
        <v>532</v>
      </c>
      <c r="C361" s="324"/>
      <c r="D361" s="807"/>
      <c r="E361" s="324"/>
      <c r="F361" s="853"/>
      <c r="G361" s="324"/>
      <c r="H361" s="324"/>
      <c r="I361" s="324"/>
      <c r="J361" s="324"/>
      <c r="K361" s="854">
        <f>K335++K341+K346+K350+K355+K360</f>
        <v>12367673.622172035</v>
      </c>
      <c r="L361" s="854">
        <f>L335++L341+L346+L350+L355+L360</f>
        <v>225000</v>
      </c>
      <c r="M361" s="854">
        <f>K361+L361</f>
        <v>12592673.622172035</v>
      </c>
      <c r="N361" s="324"/>
    </row>
    <row r="362" spans="1:14">
      <c r="A362" s="852"/>
      <c r="B362" s="206"/>
      <c r="C362" s="324"/>
      <c r="D362" s="807"/>
      <c r="E362" s="324"/>
      <c r="F362" s="853"/>
      <c r="G362" s="324"/>
      <c r="H362" s="324"/>
      <c r="I362" s="324"/>
      <c r="J362" s="324"/>
      <c r="K362" s="854"/>
      <c r="L362" s="854"/>
      <c r="M362" s="854"/>
      <c r="N362" s="324"/>
    </row>
    <row r="363" spans="1:14">
      <c r="A363" s="852"/>
      <c r="B363" s="206"/>
      <c r="C363" s="324"/>
      <c r="D363" s="807"/>
      <c r="E363" s="324"/>
      <c r="F363" s="853"/>
      <c r="G363" s="324"/>
      <c r="H363" s="324"/>
      <c r="I363" s="324"/>
      <c r="J363" s="324"/>
      <c r="K363" s="854"/>
      <c r="L363" s="854"/>
      <c r="M363" s="854"/>
      <c r="N363" s="324"/>
    </row>
    <row r="364" spans="1:14">
      <c r="A364" s="852"/>
      <c r="B364" s="206"/>
      <c r="C364" s="324"/>
      <c r="D364" s="807"/>
      <c r="E364" s="324"/>
      <c r="F364" s="853"/>
      <c r="G364" s="324"/>
      <c r="H364" s="324"/>
      <c r="I364" s="324"/>
      <c r="J364" s="324"/>
      <c r="K364" s="854"/>
      <c r="L364" s="854"/>
      <c r="M364" s="854"/>
      <c r="N364" s="324"/>
    </row>
    <row r="365" spans="1:14">
      <c r="A365" s="807"/>
      <c r="B365" s="1110" t="s">
        <v>0</v>
      </c>
      <c r="C365" s="1110"/>
      <c r="D365" s="1110"/>
      <c r="E365" s="1110"/>
      <c r="F365" s="1110"/>
      <c r="G365" s="1110"/>
      <c r="H365" s="1110"/>
      <c r="I365" s="1110"/>
      <c r="J365" s="1110"/>
      <c r="K365" s="1110"/>
      <c r="L365" s="1110"/>
      <c r="M365" s="1110"/>
      <c r="N365" s="1110"/>
    </row>
    <row r="366" spans="1:14">
      <c r="A366" s="807"/>
      <c r="B366" s="1106" t="s">
        <v>1</v>
      </c>
      <c r="C366" s="1106"/>
      <c r="D366" s="1106"/>
      <c r="E366" s="1106"/>
      <c r="F366" s="1106"/>
      <c r="G366" s="1106"/>
      <c r="H366" s="1106"/>
      <c r="I366" s="1106"/>
      <c r="J366" s="1106"/>
      <c r="K366" s="1106"/>
      <c r="L366" s="1106"/>
      <c r="M366" s="1106"/>
      <c r="N366" s="1106"/>
    </row>
    <row r="367" spans="1:14">
      <c r="A367" s="807"/>
      <c r="B367" s="332"/>
      <c r="C367" s="332"/>
      <c r="D367" s="332"/>
      <c r="E367" s="332"/>
      <c r="F367" s="855"/>
      <c r="G367" s="332"/>
      <c r="H367" s="332"/>
      <c r="I367" s="332"/>
      <c r="J367" s="332"/>
      <c r="K367" s="332"/>
      <c r="L367" s="332"/>
      <c r="M367" s="856" t="s">
        <v>87</v>
      </c>
      <c r="N367" s="332"/>
    </row>
    <row r="368" spans="1:14" ht="36.75">
      <c r="A368" s="807"/>
      <c r="B368" s="339" t="s">
        <v>3</v>
      </c>
      <c r="C368" s="1086" t="s">
        <v>411</v>
      </c>
      <c r="D368" s="1086"/>
      <c r="E368" s="1086"/>
      <c r="F368" s="1086"/>
      <c r="G368" s="1086"/>
      <c r="H368" s="1086"/>
      <c r="I368" s="1086"/>
      <c r="J368" s="205"/>
      <c r="K368" s="205"/>
      <c r="L368" s="342" t="s">
        <v>5</v>
      </c>
      <c r="M368" s="857" t="s">
        <v>412</v>
      </c>
      <c r="N368" s="324"/>
    </row>
    <row r="369" spans="1:14" ht="24.75">
      <c r="A369" s="807"/>
      <c r="B369" s="342" t="s">
        <v>7</v>
      </c>
      <c r="C369" s="6">
        <v>3</v>
      </c>
      <c r="D369" s="386"/>
      <c r="E369" s="318"/>
      <c r="F369" s="342"/>
      <c r="G369" s="318"/>
      <c r="H369" s="205"/>
      <c r="I369" s="205"/>
      <c r="J369" s="205"/>
      <c r="K369" s="205"/>
      <c r="L369" s="342" t="s">
        <v>8</v>
      </c>
      <c r="M369" s="857">
        <v>12379572.51</v>
      </c>
      <c r="N369" s="690"/>
    </row>
    <row r="370" spans="1:14" ht="24.75">
      <c r="A370" s="807"/>
      <c r="B370" s="342" t="s">
        <v>9</v>
      </c>
      <c r="C370" s="318" t="s">
        <v>413</v>
      </c>
      <c r="D370" s="348"/>
      <c r="E370" s="318"/>
      <c r="F370" s="342"/>
      <c r="G370" s="343"/>
      <c r="H370" s="205"/>
      <c r="I370" s="205"/>
      <c r="J370" s="205"/>
      <c r="K370" s="205"/>
      <c r="L370" s="342" t="s">
        <v>12</v>
      </c>
      <c r="M370" s="858" t="s">
        <v>414</v>
      </c>
      <c r="N370" s="859"/>
    </row>
    <row r="371" spans="1:14" ht="48.75">
      <c r="A371" s="807"/>
      <c r="B371" s="342" t="s">
        <v>14</v>
      </c>
      <c r="C371" s="318" t="s">
        <v>415</v>
      </c>
      <c r="D371" s="348"/>
      <c r="E371" s="318"/>
      <c r="F371" s="342"/>
      <c r="G371" s="318"/>
      <c r="H371" s="205"/>
      <c r="I371" s="205"/>
      <c r="J371" s="1204"/>
      <c r="K371" s="1204"/>
      <c r="L371" s="205"/>
      <c r="M371" s="205"/>
      <c r="N371" s="859"/>
    </row>
    <row r="372" spans="1:14">
      <c r="A372" s="807"/>
      <c r="B372" s="342"/>
      <c r="C372" s="318"/>
      <c r="D372" s="348"/>
      <c r="E372" s="1110" t="s">
        <v>90</v>
      </c>
      <c r="F372" s="1110"/>
      <c r="G372" s="860"/>
      <c r="H372" s="1087" t="s">
        <v>25</v>
      </c>
      <c r="I372" s="1087"/>
      <c r="J372" s="1110" t="s">
        <v>26</v>
      </c>
      <c r="K372" s="1110"/>
      <c r="L372" s="1110" t="s">
        <v>27</v>
      </c>
      <c r="M372" s="1110"/>
      <c r="N372" s="859"/>
    </row>
    <row r="373" spans="1:14">
      <c r="A373" s="807"/>
      <c r="B373" s="342"/>
      <c r="C373" s="318"/>
      <c r="D373" s="348"/>
      <c r="E373" s="1115">
        <f>F326</f>
        <v>49164307.059999995</v>
      </c>
      <c r="F373" s="1115"/>
      <c r="G373" s="351"/>
      <c r="H373" s="1115">
        <v>30036183.699999999</v>
      </c>
      <c r="I373" s="1115"/>
      <c r="J373" s="1115">
        <f>L361+L326</f>
        <v>8910003.7195419986</v>
      </c>
      <c r="K373" s="1115"/>
      <c r="L373" s="1115">
        <f>H373+J373</f>
        <v>38946187.419542</v>
      </c>
      <c r="M373" s="1115"/>
      <c r="N373" s="859"/>
    </row>
    <row r="374" spans="1:14">
      <c r="A374" s="807"/>
      <c r="B374" s="6" t="s">
        <v>92</v>
      </c>
      <c r="C374" s="318"/>
      <c r="D374" s="348"/>
      <c r="E374" s="321"/>
      <c r="F374" s="861"/>
      <c r="G374" s="321"/>
      <c r="H374" s="320"/>
      <c r="I374" s="320"/>
      <c r="J374" s="320"/>
      <c r="K374" s="320"/>
      <c r="L374" s="320"/>
      <c r="M374" s="320"/>
      <c r="N374" s="859"/>
    </row>
    <row r="375" spans="1:14">
      <c r="A375" s="807"/>
      <c r="B375" s="6" t="s">
        <v>93</v>
      </c>
      <c r="C375" s="318"/>
      <c r="D375" s="807"/>
      <c r="E375" s="326"/>
      <c r="F375" s="862"/>
      <c r="G375" s="326"/>
      <c r="H375" s="320"/>
      <c r="I375" s="320"/>
      <c r="J375" s="320"/>
      <c r="K375" s="320"/>
      <c r="L375" s="320"/>
      <c r="M375" s="320"/>
      <c r="N375" s="324"/>
    </row>
    <row r="376" spans="1:14">
      <c r="A376" s="807"/>
      <c r="B376" s="6" t="s">
        <v>94</v>
      </c>
      <c r="C376" s="863"/>
      <c r="D376" s="863"/>
      <c r="E376" s="1202"/>
      <c r="F376" s="1202"/>
      <c r="G376" s="371"/>
      <c r="H376" s="320"/>
      <c r="I376" s="320"/>
      <c r="J376" s="320"/>
      <c r="K376" s="320"/>
      <c r="L376" s="320"/>
      <c r="M376" s="320"/>
      <c r="N376" s="859"/>
    </row>
    <row r="377" spans="1:14">
      <c r="A377" s="807"/>
      <c r="B377" s="318" t="s">
        <v>95</v>
      </c>
      <c r="C377" s="863"/>
      <c r="D377" s="360">
        <v>0.03</v>
      </c>
      <c r="E377" s="1202">
        <f>D377*E373</f>
        <v>1474929.2117999997</v>
      </c>
      <c r="F377" s="1202"/>
      <c r="G377" s="371"/>
      <c r="H377" s="1202">
        <f>D377*H373</f>
        <v>901085.51099999994</v>
      </c>
      <c r="I377" s="1202"/>
      <c r="J377" s="1128">
        <f>J373*D377</f>
        <v>267300.11158625997</v>
      </c>
      <c r="K377" s="1128"/>
      <c r="L377" s="1128">
        <f>J377+H377</f>
        <v>1168385.6225862599</v>
      </c>
      <c r="M377" s="1128"/>
      <c r="N377" s="859"/>
    </row>
    <row r="378" spans="1:14">
      <c r="A378" s="807"/>
      <c r="B378" s="318" t="s">
        <v>96</v>
      </c>
      <c r="C378" s="863"/>
      <c r="D378" s="864">
        <v>0.1</v>
      </c>
      <c r="E378" s="1202">
        <f>D378*E373</f>
        <v>4916430.7059999993</v>
      </c>
      <c r="F378" s="1202"/>
      <c r="G378" s="371"/>
      <c r="H378" s="1202">
        <f>D378*H373</f>
        <v>3003618.37</v>
      </c>
      <c r="I378" s="1202"/>
      <c r="J378" s="1128">
        <f>J373*D378</f>
        <v>891000.37195419986</v>
      </c>
      <c r="K378" s="1128"/>
      <c r="L378" s="1128">
        <f t="shared" ref="L378:L382" si="136">J378+H378</f>
        <v>3894618.7419542</v>
      </c>
      <c r="M378" s="1128"/>
      <c r="N378" s="859"/>
    </row>
    <row r="379" spans="1:14">
      <c r="A379" s="807"/>
      <c r="B379" s="318" t="s">
        <v>97</v>
      </c>
      <c r="C379" s="863"/>
      <c r="D379" s="864">
        <v>0.18</v>
      </c>
      <c r="E379" s="1202">
        <f>D379*E378</f>
        <v>884957.5270799998</v>
      </c>
      <c r="F379" s="1202"/>
      <c r="G379" s="371"/>
      <c r="H379" s="1202">
        <f>D379*H378</f>
        <v>540651.30660000001</v>
      </c>
      <c r="I379" s="1202"/>
      <c r="J379" s="1128">
        <f>J378*D379</f>
        <v>160380.06695175596</v>
      </c>
      <c r="K379" s="1128"/>
      <c r="L379" s="1128">
        <f t="shared" si="136"/>
        <v>701031.37355175591</v>
      </c>
      <c r="M379" s="1128"/>
      <c r="N379" s="859"/>
    </row>
    <row r="380" spans="1:14">
      <c r="A380" s="807"/>
      <c r="B380" s="318" t="s">
        <v>98</v>
      </c>
      <c r="C380" s="864"/>
      <c r="D380" s="363">
        <v>0.03</v>
      </c>
      <c r="E380" s="1202">
        <f>D380*E373</f>
        <v>1474929.2117999997</v>
      </c>
      <c r="F380" s="1202"/>
      <c r="G380" s="371"/>
      <c r="H380" s="1128">
        <f>D380*H373</f>
        <v>901085.51099999994</v>
      </c>
      <c r="I380" s="1128"/>
      <c r="J380" s="1128">
        <f>J373*D380</f>
        <v>267300.11158625997</v>
      </c>
      <c r="K380" s="1128"/>
      <c r="L380" s="1128">
        <f t="shared" si="136"/>
        <v>1168385.6225862599</v>
      </c>
      <c r="M380" s="1128"/>
      <c r="N380" s="859"/>
    </row>
    <row r="381" spans="1:14">
      <c r="A381" s="807"/>
      <c r="B381" s="318" t="s">
        <v>99</v>
      </c>
      <c r="C381" s="863"/>
      <c r="D381" s="863">
        <v>0.02</v>
      </c>
      <c r="E381" s="1202">
        <f>D381*E373</f>
        <v>983286.14119999995</v>
      </c>
      <c r="F381" s="1202"/>
      <c r="G381" s="371"/>
      <c r="H381" s="1128">
        <f>D381*H373</f>
        <v>600723.674</v>
      </c>
      <c r="I381" s="1128"/>
      <c r="J381" s="1128">
        <f>J373*D381</f>
        <v>178200.07439083999</v>
      </c>
      <c r="K381" s="1128"/>
      <c r="L381" s="1128">
        <f t="shared" si="136"/>
        <v>778923.74839084002</v>
      </c>
      <c r="M381" s="1128"/>
      <c r="N381" s="859"/>
    </row>
    <row r="382" spans="1:14">
      <c r="A382" s="807"/>
      <c r="B382" s="318" t="s">
        <v>100</v>
      </c>
      <c r="C382" s="863"/>
      <c r="D382" s="864">
        <v>0.01</v>
      </c>
      <c r="E382" s="1202">
        <f>D382*E373</f>
        <v>491643.07059999998</v>
      </c>
      <c r="F382" s="1202"/>
      <c r="G382" s="371"/>
      <c r="H382" s="1128">
        <f>D382*H373</f>
        <v>300361.837</v>
      </c>
      <c r="I382" s="1128"/>
      <c r="J382" s="1128">
        <f>J373*D382</f>
        <v>89100.037195419995</v>
      </c>
      <c r="K382" s="1128"/>
      <c r="L382" s="1128">
        <f t="shared" si="136"/>
        <v>389461.87419542001</v>
      </c>
      <c r="M382" s="1128"/>
      <c r="N382" s="859"/>
    </row>
    <row r="383" spans="1:14">
      <c r="A383" s="807"/>
      <c r="B383" s="318" t="s">
        <v>101</v>
      </c>
      <c r="C383" s="863"/>
      <c r="D383" s="863">
        <v>1E-3</v>
      </c>
      <c r="E383" s="1202">
        <f>D383*E373</f>
        <v>49164.307059999999</v>
      </c>
      <c r="F383" s="1202"/>
      <c r="G383" s="371"/>
      <c r="H383" s="1202">
        <f>D383*H373</f>
        <v>30036.183700000001</v>
      </c>
      <c r="I383" s="1202"/>
      <c r="J383" s="1128">
        <f>J373*D383</f>
        <v>8910.0037195419991</v>
      </c>
      <c r="K383" s="1128"/>
      <c r="L383" s="1128">
        <f>J383+H383</f>
        <v>38946.187419542002</v>
      </c>
      <c r="M383" s="1128"/>
      <c r="N383" s="859"/>
    </row>
    <row r="384" spans="1:14">
      <c r="A384" s="807"/>
      <c r="B384" s="318"/>
      <c r="C384" s="863"/>
      <c r="D384" s="864"/>
      <c r="E384" s="1202"/>
      <c r="F384" s="1202"/>
      <c r="G384" s="371"/>
      <c r="H384" s="1202"/>
      <c r="I384" s="1202"/>
      <c r="J384" s="371"/>
      <c r="K384" s="371"/>
      <c r="L384" s="1128"/>
      <c r="M384" s="1128"/>
      <c r="N384" s="859"/>
    </row>
    <row r="385" spans="1:14">
      <c r="A385" s="807"/>
      <c r="B385" s="318" t="s">
        <v>103</v>
      </c>
      <c r="C385" s="865"/>
      <c r="D385" s="864">
        <v>0.05</v>
      </c>
      <c r="E385" s="1202">
        <f>D385*E373</f>
        <v>2458215.3529999997</v>
      </c>
      <c r="F385" s="1202"/>
      <c r="G385" s="371"/>
      <c r="H385" s="1202"/>
      <c r="I385" s="1202"/>
      <c r="J385" s="1130"/>
      <c r="K385" s="1130"/>
      <c r="L385" s="1205"/>
      <c r="M385" s="1205"/>
      <c r="N385" s="859"/>
    </row>
    <row r="386" spans="1:14">
      <c r="A386" s="807"/>
      <c r="B386" s="1110"/>
      <c r="C386" s="1110"/>
      <c r="D386" s="1110"/>
      <c r="E386" s="1110"/>
      <c r="F386" s="1110"/>
      <c r="G386" s="371"/>
      <c r="H386" s="361"/>
      <c r="I386" s="361"/>
      <c r="J386" s="377"/>
      <c r="K386" s="377"/>
      <c r="L386" s="378"/>
      <c r="M386" s="378"/>
      <c r="N386" s="859"/>
    </row>
    <row r="387" spans="1:14">
      <c r="A387" s="807"/>
      <c r="B387" s="318"/>
      <c r="C387" s="865"/>
      <c r="D387" s="866"/>
      <c r="E387" s="1202"/>
      <c r="F387" s="1202"/>
      <c r="G387" s="371"/>
      <c r="H387" s="324"/>
      <c r="I387" s="378"/>
      <c r="J387" s="377"/>
      <c r="K387" s="377"/>
      <c r="L387" s="378"/>
      <c r="M387" s="378"/>
      <c r="N387" s="859"/>
    </row>
    <row r="388" spans="1:14">
      <c r="A388" s="807"/>
      <c r="B388" s="318"/>
      <c r="C388" s="865"/>
      <c r="D388" s="864"/>
      <c r="E388" s="1202"/>
      <c r="F388" s="1202"/>
      <c r="G388" s="371"/>
      <c r="H388" s="378"/>
      <c r="I388" s="378"/>
      <c r="J388" s="377"/>
      <c r="K388" s="377"/>
      <c r="L388" s="378"/>
      <c r="M388" s="378"/>
      <c r="N388" s="859"/>
    </row>
    <row r="389" spans="1:14">
      <c r="A389" s="807"/>
      <c r="B389" s="318"/>
      <c r="C389" s="865"/>
      <c r="D389" s="864"/>
      <c r="E389" s="361"/>
      <c r="F389" s="867"/>
      <c r="G389" s="371"/>
      <c r="H389" s="378"/>
      <c r="I389" s="378"/>
      <c r="J389" s="377"/>
      <c r="K389" s="377"/>
      <c r="L389" s="378"/>
      <c r="M389" s="378"/>
      <c r="N389" s="859"/>
    </row>
    <row r="390" spans="1:14">
      <c r="A390" s="807"/>
      <c r="B390" s="868" t="s">
        <v>183</v>
      </c>
      <c r="C390" s="864"/>
      <c r="D390" s="348"/>
      <c r="E390" s="1114">
        <f>SUM(E377:F389)</f>
        <v>12733555.528539998</v>
      </c>
      <c r="F390" s="1114"/>
      <c r="G390" s="356"/>
      <c r="H390" s="1206">
        <f>SUM(H377:I383)</f>
        <v>6277562.3932999996</v>
      </c>
      <c r="I390" s="1206"/>
      <c r="J390" s="1136">
        <f>SUM(J377:K387)</f>
        <v>1862190.7773842774</v>
      </c>
      <c r="K390" s="1136"/>
      <c r="L390" s="1208">
        <f>SUM(L377:M385)</f>
        <v>8139753.170684278</v>
      </c>
      <c r="M390" s="1208"/>
      <c r="N390" s="390"/>
    </row>
    <row r="391" spans="1:14">
      <c r="A391" s="807"/>
      <c r="B391" s="318"/>
      <c r="C391" s="869"/>
      <c r="D391" s="870"/>
      <c r="E391" s="1205"/>
      <c r="F391" s="1205"/>
      <c r="G391" s="371"/>
      <c r="H391" s="1209"/>
      <c r="I391" s="1209"/>
      <c r="J391" s="1209"/>
      <c r="K391" s="1209"/>
      <c r="L391" s="1210"/>
      <c r="M391" s="1210"/>
      <c r="N391" s="859"/>
    </row>
    <row r="392" spans="1:14">
      <c r="A392" s="807"/>
      <c r="B392" s="871" t="s">
        <v>105</v>
      </c>
      <c r="C392" s="381"/>
      <c r="D392" s="386"/>
      <c r="E392" s="1114">
        <f>E373+E390</f>
        <v>61897862.588539995</v>
      </c>
      <c r="F392" s="1114"/>
      <c r="G392" s="872"/>
      <c r="H392" s="1206">
        <f>H373+H390</f>
        <v>36313746.0933</v>
      </c>
      <c r="I392" s="1206"/>
      <c r="J392" s="1207">
        <f>J390+J373</f>
        <v>10772194.496926276</v>
      </c>
      <c r="K392" s="1207"/>
      <c r="L392" s="1206">
        <f>H392+J392</f>
        <v>47085940.590226278</v>
      </c>
      <c r="M392" s="1206"/>
      <c r="N392" s="859"/>
    </row>
    <row r="393" spans="1:14">
      <c r="A393" s="807"/>
      <c r="B393" s="385" t="s">
        <v>106</v>
      </c>
      <c r="C393" s="864"/>
      <c r="D393" s="807"/>
      <c r="E393" s="320"/>
      <c r="F393" s="873"/>
      <c r="G393" s="320"/>
      <c r="H393" s="320"/>
      <c r="I393" s="320"/>
      <c r="J393" s="320"/>
      <c r="K393" s="320"/>
      <c r="L393" s="320"/>
      <c r="M393" s="320"/>
      <c r="N393" s="859"/>
    </row>
    <row r="394" spans="1:14">
      <c r="A394" s="807"/>
      <c r="B394" s="6" t="s">
        <v>107</v>
      </c>
      <c r="C394" s="386"/>
      <c r="D394" s="874">
        <v>0.2</v>
      </c>
      <c r="E394" s="380"/>
      <c r="F394" s="873"/>
      <c r="G394" s="380"/>
      <c r="H394" s="1206">
        <f>+H392*0.2</f>
        <v>7262749.2186600007</v>
      </c>
      <c r="I394" s="1206"/>
      <c r="J394" s="1136">
        <f>J392*D394</f>
        <v>2154438.8993852553</v>
      </c>
      <c r="K394" s="1136"/>
      <c r="L394" s="1136">
        <f>H394+J394</f>
        <v>9417188.1180452555</v>
      </c>
      <c r="M394" s="1136"/>
      <c r="N394" s="324"/>
    </row>
    <row r="395" spans="1:14">
      <c r="A395" s="807"/>
      <c r="B395" s="6"/>
      <c r="C395" s="386"/>
      <c r="D395" s="874"/>
      <c r="E395" s="380"/>
      <c r="F395" s="873"/>
      <c r="G395" s="380"/>
      <c r="H395" s="875"/>
      <c r="I395" s="875"/>
      <c r="J395" s="347"/>
      <c r="K395" s="347"/>
      <c r="L395" s="347"/>
      <c r="M395" s="347"/>
      <c r="N395" s="324"/>
    </row>
    <row r="396" spans="1:14">
      <c r="A396" s="807"/>
      <c r="B396" s="6" t="s">
        <v>533</v>
      </c>
      <c r="C396" s="386"/>
      <c r="D396" s="386"/>
      <c r="E396" s="380"/>
      <c r="F396" s="873"/>
      <c r="G396" s="380"/>
      <c r="H396" s="1211"/>
      <c r="I396" s="1211"/>
      <c r="J396" s="1212">
        <f>J392-J394</f>
        <v>8617755.5975410212</v>
      </c>
      <c r="K396" s="1212"/>
      <c r="L396" s="1115"/>
      <c r="M396" s="1115"/>
      <c r="N396" s="859"/>
    </row>
    <row r="397" spans="1:14">
      <c r="A397" s="807"/>
      <c r="B397" s="6"/>
      <c r="C397" s="386"/>
      <c r="D397" s="386"/>
      <c r="E397" s="386"/>
      <c r="F397" s="207"/>
      <c r="G397" s="386"/>
      <c r="H397" s="876"/>
      <c r="I397" s="877"/>
      <c r="J397" s="878"/>
      <c r="K397" s="879"/>
      <c r="L397" s="879"/>
      <c r="M397" s="387"/>
      <c r="N397" s="859"/>
    </row>
    <row r="398" spans="1:14">
      <c r="A398" s="807"/>
      <c r="B398" s="6"/>
      <c r="C398" s="1110" t="s">
        <v>109</v>
      </c>
      <c r="D398" s="1110"/>
      <c r="E398" s="1110"/>
      <c r="F398" s="342"/>
      <c r="G398" s="1110" t="s">
        <v>110</v>
      </c>
      <c r="H398" s="1110"/>
      <c r="I398" s="1110"/>
      <c r="J398" s="348"/>
      <c r="K398" s="1110"/>
      <c r="L398" s="1110"/>
      <c r="M398" s="348"/>
      <c r="N398" s="324"/>
    </row>
    <row r="399" spans="1:14">
      <c r="A399" s="807"/>
      <c r="B399" s="6"/>
      <c r="C399" s="348"/>
      <c r="D399" s="348"/>
      <c r="E399" s="348"/>
      <c r="F399" s="342"/>
      <c r="G399" s="348"/>
      <c r="H399" s="348"/>
      <c r="I399" s="348"/>
      <c r="J399" s="348"/>
      <c r="K399" s="348"/>
      <c r="L399" s="348"/>
      <c r="M399" s="348"/>
      <c r="N399" s="324"/>
    </row>
    <row r="400" spans="1:14">
      <c r="A400" s="807"/>
      <c r="B400" s="348"/>
      <c r="C400" s="348"/>
      <c r="D400" s="127" t="s">
        <v>112</v>
      </c>
      <c r="E400" s="348"/>
      <c r="F400" s="342"/>
      <c r="G400" s="348"/>
      <c r="H400" s="127" t="s">
        <v>113</v>
      </c>
      <c r="I400" s="348"/>
      <c r="J400" s="348"/>
      <c r="K400" s="143" t="s">
        <v>114</v>
      </c>
      <c r="L400" s="390"/>
      <c r="M400" s="324"/>
      <c r="N400" s="324"/>
    </row>
    <row r="401" spans="1:14">
      <c r="A401" s="807"/>
      <c r="B401" s="348"/>
      <c r="C401" s="348"/>
      <c r="D401" s="127" t="s">
        <v>115</v>
      </c>
      <c r="E401" s="348"/>
      <c r="F401" s="342"/>
      <c r="G401" s="348"/>
      <c r="H401" s="127" t="s">
        <v>116</v>
      </c>
      <c r="I401" s="348"/>
      <c r="J401" s="348"/>
      <c r="K401" s="127" t="s">
        <v>117</v>
      </c>
      <c r="L401" s="348"/>
      <c r="M401" s="386"/>
      <c r="N401" s="324"/>
    </row>
    <row r="402" spans="1:14">
      <c r="A402" s="807"/>
      <c r="B402" s="324"/>
      <c r="C402" s="324"/>
      <c r="D402" s="807"/>
      <c r="E402" s="324"/>
      <c r="F402" s="853"/>
      <c r="G402" s="324"/>
      <c r="H402" s="324"/>
      <c r="I402" s="324"/>
      <c r="J402" s="324"/>
      <c r="K402" s="324"/>
      <c r="L402" s="324"/>
      <c r="M402" s="324"/>
      <c r="N402" s="324"/>
    </row>
    <row r="403" spans="1:14">
      <c r="A403" s="807"/>
      <c r="B403" s="324"/>
      <c r="C403" s="324"/>
      <c r="D403" s="807"/>
      <c r="E403" s="324"/>
      <c r="F403" s="853"/>
      <c r="G403" s="324"/>
      <c r="H403" s="324"/>
      <c r="I403" s="324"/>
      <c r="J403" s="324"/>
      <c r="K403" s="324"/>
      <c r="L403" s="324"/>
      <c r="M403" s="324"/>
      <c r="N403" s="324"/>
    </row>
    <row r="404" spans="1:14">
      <c r="A404" s="807"/>
      <c r="B404" s="324"/>
      <c r="C404" s="324"/>
      <c r="D404" s="807"/>
      <c r="E404" s="324"/>
      <c r="F404" s="853"/>
      <c r="G404" s="324"/>
      <c r="H404" s="324"/>
      <c r="I404" s="324"/>
      <c r="J404" s="324"/>
      <c r="K404" s="324"/>
      <c r="L404" s="324"/>
      <c r="M404" s="324"/>
      <c r="N404" s="324"/>
    </row>
    <row r="405" spans="1:14">
      <c r="A405" s="807"/>
      <c r="B405" s="324"/>
      <c r="C405" s="324"/>
      <c r="D405" s="807"/>
      <c r="E405" s="324"/>
      <c r="F405" s="853"/>
      <c r="G405" s="324"/>
      <c r="H405" s="324"/>
      <c r="I405" s="324"/>
      <c r="J405" s="324"/>
      <c r="K405" s="324"/>
      <c r="L405" s="324"/>
      <c r="M405" s="324"/>
      <c r="N405" s="324"/>
    </row>
    <row r="406" spans="1:14">
      <c r="A406" s="807"/>
      <c r="B406" s="324"/>
      <c r="C406" s="324"/>
      <c r="D406" s="807"/>
      <c r="E406" s="324"/>
      <c r="F406" s="853"/>
      <c r="G406" s="324"/>
      <c r="H406" s="324"/>
      <c r="I406" s="324"/>
      <c r="J406" s="324"/>
      <c r="K406" s="324"/>
      <c r="L406" s="324"/>
      <c r="M406" s="324"/>
      <c r="N406" s="324"/>
    </row>
    <row r="407" spans="1:14">
      <c r="A407" s="807"/>
      <c r="B407" s="324"/>
      <c r="C407" s="324"/>
      <c r="D407" s="807"/>
      <c r="E407" s="324"/>
      <c r="F407" s="853"/>
      <c r="G407" s="324"/>
      <c r="H407" s="324"/>
      <c r="I407" s="324"/>
      <c r="J407" s="324"/>
      <c r="K407" s="324"/>
      <c r="L407" s="324"/>
      <c r="M407" s="324"/>
      <c r="N407" s="324"/>
    </row>
    <row r="408" spans="1:14">
      <c r="A408" s="807"/>
      <c r="B408" s="324"/>
      <c r="C408" s="324"/>
      <c r="D408" s="807"/>
      <c r="E408" s="324"/>
      <c r="F408" s="853"/>
      <c r="G408" s="324"/>
      <c r="H408" s="324"/>
      <c r="I408" s="324"/>
      <c r="J408" s="324"/>
      <c r="K408" s="324"/>
      <c r="L408" s="324"/>
      <c r="M408" s="324"/>
      <c r="N408" s="324"/>
    </row>
    <row r="409" spans="1:14">
      <c r="A409" s="807"/>
      <c r="B409" s="324"/>
      <c r="C409" s="324"/>
      <c r="D409" s="807"/>
      <c r="E409" s="324"/>
      <c r="F409" s="853"/>
      <c r="G409" s="324"/>
      <c r="H409" s="324"/>
      <c r="I409" s="324"/>
      <c r="J409" s="324"/>
      <c r="K409" s="324"/>
      <c r="L409" s="324"/>
      <c r="M409" s="324"/>
      <c r="N409" s="324"/>
    </row>
    <row r="410" spans="1:14">
      <c r="A410" s="657"/>
      <c r="D410" s="657"/>
      <c r="F410" s="253"/>
    </row>
    <row r="411" spans="1:14">
      <c r="A411" s="657"/>
      <c r="D411" s="657"/>
      <c r="F411" s="253"/>
    </row>
    <row r="412" spans="1:14">
      <c r="A412" s="657"/>
      <c r="D412" s="657"/>
      <c r="F412" s="253"/>
    </row>
    <row r="413" spans="1:14">
      <c r="A413" s="657"/>
      <c r="D413" s="657"/>
      <c r="F413" s="253"/>
    </row>
    <row r="414" spans="1:14">
      <c r="A414" s="657"/>
      <c r="D414" s="657"/>
      <c r="F414" s="253"/>
    </row>
    <row r="415" spans="1:14">
      <c r="A415" s="657"/>
      <c r="D415" s="657"/>
      <c r="F415" s="253"/>
    </row>
    <row r="416" spans="1:14">
      <c r="A416" s="657"/>
      <c r="D416" s="657"/>
      <c r="F416" s="253"/>
    </row>
    <row r="417" spans="1:6">
      <c r="A417" s="657"/>
      <c r="D417" s="657"/>
      <c r="F417" s="253"/>
    </row>
    <row r="418" spans="1:6">
      <c r="A418" s="657"/>
      <c r="D418" s="657"/>
      <c r="F418" s="253"/>
    </row>
  </sheetData>
  <mergeCells count="80">
    <mergeCell ref="H391:I391"/>
    <mergeCell ref="J391:K391"/>
    <mergeCell ref="L391:M391"/>
    <mergeCell ref="C398:E398"/>
    <mergeCell ref="G398:I398"/>
    <mergeCell ref="K398:L398"/>
    <mergeCell ref="H394:I394"/>
    <mergeCell ref="J394:K394"/>
    <mergeCell ref="L394:M394"/>
    <mergeCell ref="H396:I396"/>
    <mergeCell ref="J396:K396"/>
    <mergeCell ref="L396:M396"/>
    <mergeCell ref="E385:F385"/>
    <mergeCell ref="H385:I385"/>
    <mergeCell ref="J385:K385"/>
    <mergeCell ref="L385:M385"/>
    <mergeCell ref="E392:F392"/>
    <mergeCell ref="H392:I392"/>
    <mergeCell ref="J392:K392"/>
    <mergeCell ref="L392:M392"/>
    <mergeCell ref="B386:F386"/>
    <mergeCell ref="E387:F387"/>
    <mergeCell ref="E388:F388"/>
    <mergeCell ref="E390:F390"/>
    <mergeCell ref="H390:I390"/>
    <mergeCell ref="J390:K390"/>
    <mergeCell ref="L390:M390"/>
    <mergeCell ref="E391:F391"/>
    <mergeCell ref="E383:F383"/>
    <mergeCell ref="H383:I383"/>
    <mergeCell ref="J383:K383"/>
    <mergeCell ref="L383:M383"/>
    <mergeCell ref="E384:F384"/>
    <mergeCell ref="H384:I384"/>
    <mergeCell ref="L384:M384"/>
    <mergeCell ref="E381:F381"/>
    <mergeCell ref="H381:I381"/>
    <mergeCell ref="J381:K381"/>
    <mergeCell ref="L381:M381"/>
    <mergeCell ref="E382:F382"/>
    <mergeCell ref="H382:I382"/>
    <mergeCell ref="J382:K382"/>
    <mergeCell ref="L382:M382"/>
    <mergeCell ref="E379:F379"/>
    <mergeCell ref="H379:I379"/>
    <mergeCell ref="J379:K379"/>
    <mergeCell ref="L379:M379"/>
    <mergeCell ref="E380:F380"/>
    <mergeCell ref="H380:I380"/>
    <mergeCell ref="J380:K380"/>
    <mergeCell ref="L380:M380"/>
    <mergeCell ref="L373:M373"/>
    <mergeCell ref="E376:F376"/>
    <mergeCell ref="E378:F378"/>
    <mergeCell ref="H378:I378"/>
    <mergeCell ref="J378:K378"/>
    <mergeCell ref="L378:M378"/>
    <mergeCell ref="E377:F377"/>
    <mergeCell ref="H377:I377"/>
    <mergeCell ref="J377:K377"/>
    <mergeCell ref="L377:M377"/>
    <mergeCell ref="B328:G328"/>
    <mergeCell ref="B365:N365"/>
    <mergeCell ref="B366:N366"/>
    <mergeCell ref="C368:I368"/>
    <mergeCell ref="J371:K371"/>
    <mergeCell ref="E372:F372"/>
    <mergeCell ref="H372:I372"/>
    <mergeCell ref="J372:K372"/>
    <mergeCell ref="L372:M372"/>
    <mergeCell ref="E373:F373"/>
    <mergeCell ref="H373:I373"/>
    <mergeCell ref="J373:K373"/>
    <mergeCell ref="B1:N1"/>
    <mergeCell ref="B2:N2"/>
    <mergeCell ref="C4:I4"/>
    <mergeCell ref="J7:K7"/>
    <mergeCell ref="A8:F8"/>
    <mergeCell ref="G8:J8"/>
    <mergeCell ref="K8:M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4077A-10B5-4272-B36F-FED2A566A602}">
  <sheetPr codeName="Hoja8"/>
  <dimension ref="A2:N199"/>
  <sheetViews>
    <sheetView topLeftCell="A162" workbookViewId="0">
      <selection activeCell="J196" sqref="J196:L196"/>
    </sheetView>
  </sheetViews>
  <sheetFormatPr baseColWidth="10" defaultRowHeight="15"/>
  <cols>
    <col min="1" max="1" width="9.5703125" customWidth="1"/>
    <col min="2" max="2" width="33.85546875" bestFit="1" customWidth="1"/>
    <col min="3" max="3" width="15" customWidth="1"/>
    <col min="4" max="4" width="13.7109375" customWidth="1"/>
    <col min="5" max="5" width="13.85546875" bestFit="1" customWidth="1"/>
    <col min="6" max="6" width="17.5703125" customWidth="1"/>
    <col min="11" max="11" width="13.7109375" bestFit="1" customWidth="1"/>
    <col min="12" max="12" width="20.28515625" bestFit="1" customWidth="1"/>
    <col min="13" max="13" width="16.28515625" customWidth="1"/>
  </cols>
  <sheetData>
    <row r="2" spans="1:13">
      <c r="A2" s="1085" t="s">
        <v>0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</row>
    <row r="3" spans="1:13">
      <c r="A3" s="1079" t="s">
        <v>1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1079"/>
    </row>
    <row r="4" spans="1:13">
      <c r="A4" s="2"/>
      <c r="B4" s="2"/>
      <c r="C4" s="2"/>
      <c r="D4" s="264"/>
      <c r="E4" s="265"/>
      <c r="F4" s="265"/>
      <c r="G4" s="2"/>
      <c r="H4" s="2"/>
      <c r="I4" s="2"/>
      <c r="J4" s="2"/>
      <c r="K4" s="2"/>
      <c r="L4" s="2"/>
      <c r="M4" s="159" t="s">
        <v>2</v>
      </c>
    </row>
    <row r="5" spans="1:13">
      <c r="A5" s="127"/>
      <c r="B5" s="127"/>
      <c r="C5" s="127"/>
      <c r="D5" s="266"/>
      <c r="E5" s="162"/>
      <c r="F5" s="162"/>
      <c r="G5" s="127"/>
      <c r="H5" s="127"/>
      <c r="I5" s="127"/>
      <c r="J5" s="127"/>
      <c r="K5" s="127"/>
      <c r="L5" s="127"/>
      <c r="M5" s="7"/>
    </row>
    <row r="6" spans="1:13">
      <c r="A6" s="7"/>
      <c r="B6" s="5" t="s">
        <v>3</v>
      </c>
      <c r="C6" s="10" t="s">
        <v>269</v>
      </c>
      <c r="D6" s="267"/>
      <c r="E6" s="97"/>
      <c r="F6" s="97"/>
      <c r="G6" s="268"/>
      <c r="H6" s="7"/>
      <c r="I6" s="7"/>
      <c r="J6" s="7"/>
      <c r="K6" s="7"/>
      <c r="L6" s="5" t="s">
        <v>5</v>
      </c>
      <c r="M6" s="131" t="s">
        <v>186</v>
      </c>
    </row>
    <row r="7" spans="1:13">
      <c r="A7" s="7"/>
      <c r="B7" s="5" t="s">
        <v>7</v>
      </c>
      <c r="C7" s="9">
        <v>2</v>
      </c>
      <c r="D7" s="269"/>
      <c r="E7" s="97"/>
      <c r="F7" s="97"/>
      <c r="G7" s="10"/>
      <c r="H7" s="7"/>
      <c r="I7" s="7"/>
      <c r="J7" s="7"/>
      <c r="K7" s="7"/>
      <c r="L7" s="5" t="s">
        <v>8</v>
      </c>
      <c r="M7" s="131" t="s">
        <v>187</v>
      </c>
    </row>
    <row r="8" spans="1:13">
      <c r="A8" s="7"/>
      <c r="B8" s="5" t="s">
        <v>9</v>
      </c>
      <c r="C8" s="270" t="s">
        <v>534</v>
      </c>
      <c r="D8" s="267"/>
      <c r="E8" s="97"/>
      <c r="F8" s="97"/>
      <c r="G8" s="11"/>
      <c r="H8" s="7"/>
      <c r="I8" s="7"/>
      <c r="J8" s="7"/>
      <c r="K8" s="7"/>
      <c r="L8" s="5" t="s">
        <v>12</v>
      </c>
      <c r="M8" s="132" t="s">
        <v>189</v>
      </c>
    </row>
    <row r="9" spans="1:13">
      <c r="A9" s="7"/>
      <c r="B9" s="5" t="s">
        <v>14</v>
      </c>
      <c r="C9" s="10" t="s">
        <v>190</v>
      </c>
      <c r="D9" s="267"/>
      <c r="E9" s="97"/>
      <c r="F9" s="97"/>
      <c r="G9" s="10"/>
      <c r="H9" s="7"/>
      <c r="I9" s="7"/>
      <c r="J9" s="7"/>
      <c r="K9" s="7"/>
      <c r="L9" s="7"/>
      <c r="M9" s="7"/>
    </row>
    <row r="10" spans="1:13">
      <c r="A10" s="1105" t="s">
        <v>191</v>
      </c>
      <c r="B10" s="1105"/>
      <c r="C10" s="1105"/>
      <c r="D10" s="1105"/>
      <c r="E10" s="1105"/>
      <c r="F10" s="1105"/>
      <c r="G10" s="1083" t="s">
        <v>17</v>
      </c>
      <c r="H10" s="1083"/>
      <c r="I10" s="1083"/>
      <c r="J10" s="1083"/>
      <c r="K10" s="1084" t="s">
        <v>18</v>
      </c>
      <c r="L10" s="1084"/>
      <c r="M10" s="1084"/>
    </row>
    <row r="11" spans="1:13" ht="24">
      <c r="A11" s="271" t="s">
        <v>19</v>
      </c>
      <c r="B11" s="272" t="s">
        <v>20</v>
      </c>
      <c r="C11" s="272" t="s">
        <v>21</v>
      </c>
      <c r="D11" s="273" t="s">
        <v>90</v>
      </c>
      <c r="E11" s="274" t="s">
        <v>23</v>
      </c>
      <c r="F11" s="274" t="s">
        <v>24</v>
      </c>
      <c r="G11" s="275" t="s">
        <v>25</v>
      </c>
      <c r="H11" s="275" t="s">
        <v>26</v>
      </c>
      <c r="I11" s="276" t="s">
        <v>27</v>
      </c>
      <c r="J11" s="277" t="s">
        <v>28</v>
      </c>
      <c r="K11" s="278" t="s">
        <v>25</v>
      </c>
      <c r="L11" s="279" t="s">
        <v>26</v>
      </c>
      <c r="M11" s="279" t="s">
        <v>27</v>
      </c>
    </row>
    <row r="12" spans="1:13">
      <c r="A12" s="175" t="s">
        <v>29</v>
      </c>
      <c r="B12" s="42" t="s">
        <v>192</v>
      </c>
      <c r="C12" s="33"/>
      <c r="D12" s="73"/>
      <c r="E12" s="110"/>
      <c r="F12" s="110"/>
      <c r="G12" s="176"/>
      <c r="H12" s="176"/>
      <c r="I12" s="280"/>
      <c r="J12" s="281"/>
      <c r="K12" s="282"/>
      <c r="L12" s="41"/>
      <c r="M12" s="41"/>
    </row>
    <row r="13" spans="1:13">
      <c r="A13" s="177">
        <v>1</v>
      </c>
      <c r="B13" s="33" t="s">
        <v>36</v>
      </c>
      <c r="C13" s="33"/>
      <c r="D13" s="283"/>
      <c r="E13" s="110"/>
      <c r="F13" s="110"/>
      <c r="G13" s="176"/>
      <c r="H13" s="284"/>
      <c r="I13" s="187"/>
      <c r="J13" s="285"/>
      <c r="K13" s="286"/>
      <c r="L13" s="41"/>
      <c r="M13" s="41"/>
    </row>
    <row r="14" spans="1:13">
      <c r="A14" s="177">
        <v>1.01</v>
      </c>
      <c r="B14" s="24" t="s">
        <v>37</v>
      </c>
      <c r="C14" s="33" t="s">
        <v>38</v>
      </c>
      <c r="D14" s="283">
        <v>1300</v>
      </c>
      <c r="E14" s="110">
        <f>103943.45/D14</f>
        <v>79.956499999999991</v>
      </c>
      <c r="F14" s="110">
        <f>D14*E14</f>
        <v>103943.44999999998</v>
      </c>
      <c r="G14" s="284">
        <v>380</v>
      </c>
      <c r="H14" s="284"/>
      <c r="I14" s="187">
        <f>SUM(G14+H14)</f>
        <v>380</v>
      </c>
      <c r="J14" s="285">
        <f>I14/D14</f>
        <v>0.29230769230769232</v>
      </c>
      <c r="K14" s="41">
        <f>E14*G14</f>
        <v>30383.469999999998</v>
      </c>
      <c r="L14" s="41"/>
      <c r="M14" s="41">
        <f>K14+L14</f>
        <v>30383.469999999998</v>
      </c>
    </row>
    <row r="15" spans="1:13">
      <c r="A15" s="177">
        <v>2</v>
      </c>
      <c r="B15" s="42" t="s">
        <v>193</v>
      </c>
      <c r="C15" s="77"/>
      <c r="D15" s="283"/>
      <c r="E15" s="110"/>
      <c r="F15" s="110"/>
      <c r="G15" s="287"/>
      <c r="H15" s="287"/>
      <c r="I15" s="187"/>
      <c r="J15" s="285"/>
      <c r="K15" s="880">
        <f>SUM(K14)</f>
        <v>30383.469999999998</v>
      </c>
      <c r="L15" s="63"/>
      <c r="M15" s="63">
        <f>K15+L15</f>
        <v>30383.469999999998</v>
      </c>
    </row>
    <row r="16" spans="1:13">
      <c r="A16" s="177">
        <v>2.0099999999999998</v>
      </c>
      <c r="B16" s="881" t="s">
        <v>194</v>
      </c>
      <c r="C16" s="882" t="s">
        <v>38</v>
      </c>
      <c r="D16" s="883">
        <v>546</v>
      </c>
      <c r="E16" s="884">
        <f>1439249.08/D16</f>
        <v>2635.9873260073259</v>
      </c>
      <c r="F16" s="884">
        <f t="shared" ref="F16:F85" si="0">D16*E16</f>
        <v>1439249.0799999998</v>
      </c>
      <c r="G16" s="287"/>
      <c r="H16" s="287"/>
      <c r="I16" s="187"/>
      <c r="J16" s="285"/>
      <c r="K16" s="286"/>
      <c r="L16" s="41"/>
      <c r="M16" s="41"/>
    </row>
    <row r="17" spans="1:14" ht="16.5" customHeight="1">
      <c r="A17" s="177">
        <v>2.02</v>
      </c>
      <c r="B17" s="33" t="s">
        <v>195</v>
      </c>
      <c r="C17" s="77" t="s">
        <v>38</v>
      </c>
      <c r="D17" s="283">
        <v>451.5</v>
      </c>
      <c r="E17" s="110">
        <f>2603697.11/D17</f>
        <v>5766.7710077519378</v>
      </c>
      <c r="F17" s="110">
        <f>D17*E17</f>
        <v>2603697.11</v>
      </c>
      <c r="G17" s="284">
        <v>380</v>
      </c>
      <c r="H17" s="284"/>
      <c r="I17" s="187">
        <f>SUM(G17+H17)</f>
        <v>380</v>
      </c>
      <c r="J17" s="285">
        <f>I17/D17</f>
        <v>0.84163898117386493</v>
      </c>
      <c r="K17" s="41">
        <f>E17*G17</f>
        <v>2191372.9829457365</v>
      </c>
      <c r="L17" s="41"/>
      <c r="M17" s="41">
        <f>K17+L17</f>
        <v>2191372.9829457365</v>
      </c>
    </row>
    <row r="18" spans="1:14" ht="12.75" customHeight="1">
      <c r="A18" s="177">
        <v>2.0299999999999998</v>
      </c>
      <c r="B18" s="881" t="s">
        <v>196</v>
      </c>
      <c r="C18" s="882" t="s">
        <v>38</v>
      </c>
      <c r="D18" s="883">
        <v>367.5</v>
      </c>
      <c r="E18" s="884">
        <f>1836252.01/D18</f>
        <v>4996.6041088435377</v>
      </c>
      <c r="F18" s="884">
        <f t="shared" si="0"/>
        <v>1836252.01</v>
      </c>
      <c r="G18" s="287"/>
      <c r="H18" s="287"/>
      <c r="I18" s="187"/>
      <c r="J18" s="285"/>
      <c r="K18" s="885"/>
      <c r="L18" s="63"/>
      <c r="M18" s="63"/>
    </row>
    <row r="19" spans="1:14">
      <c r="A19" s="177"/>
      <c r="B19" s="42" t="s">
        <v>66</v>
      </c>
      <c r="C19" s="81"/>
      <c r="D19" s="289"/>
      <c r="E19" s="185"/>
      <c r="F19" s="185">
        <f>SUM(F14:F18)</f>
        <v>5983141.6499999994</v>
      </c>
      <c r="G19" s="287"/>
      <c r="H19" s="287"/>
      <c r="I19" s="187"/>
      <c r="J19" s="285"/>
      <c r="K19" s="885">
        <f>SUM(K17:K18)</f>
        <v>2191372.9829457365</v>
      </c>
      <c r="L19" s="63"/>
      <c r="M19" s="63">
        <f>K19+L19</f>
        <v>2191372.9829457365</v>
      </c>
    </row>
    <row r="20" spans="1:14">
      <c r="A20" s="180">
        <v>3</v>
      </c>
      <c r="B20" s="42" t="s">
        <v>43</v>
      </c>
      <c r="C20" s="77"/>
      <c r="D20" s="283"/>
      <c r="E20" s="110"/>
      <c r="F20" s="110"/>
      <c r="G20" s="287"/>
      <c r="H20" s="287"/>
      <c r="I20" s="290"/>
      <c r="J20" s="285"/>
      <c r="K20" s="286"/>
      <c r="L20" s="41"/>
      <c r="M20" s="41"/>
    </row>
    <row r="21" spans="1:14">
      <c r="A21" s="177">
        <v>3.01</v>
      </c>
      <c r="B21" s="24" t="s">
        <v>44</v>
      </c>
      <c r="C21" s="77" t="s">
        <v>45</v>
      </c>
      <c r="D21" s="283">
        <v>1329.9</v>
      </c>
      <c r="E21" s="110">
        <f>343322.74/D21</f>
        <v>258.1568087826152</v>
      </c>
      <c r="F21" s="110">
        <f t="shared" si="0"/>
        <v>343322.74</v>
      </c>
      <c r="G21" s="284">
        <f>G17*0.8*1.3</f>
        <v>395.2</v>
      </c>
      <c r="H21" s="284"/>
      <c r="I21" s="187">
        <f>SUM(G21+H21)</f>
        <v>395.2</v>
      </c>
      <c r="J21" s="285">
        <f>I21/D21</f>
        <v>0.2971652003910068</v>
      </c>
      <c r="K21" s="41">
        <f>E21*G21</f>
        <v>102023.57083088953</v>
      </c>
      <c r="L21" s="41"/>
      <c r="M21" s="41">
        <f>K21+L21</f>
        <v>102023.57083088953</v>
      </c>
    </row>
    <row r="22" spans="1:14">
      <c r="A22" s="177">
        <v>3.02</v>
      </c>
      <c r="B22" s="33" t="s">
        <v>197</v>
      </c>
      <c r="C22" s="77" t="s">
        <v>45</v>
      </c>
      <c r="D22" s="283">
        <v>105.3</v>
      </c>
      <c r="E22" s="110">
        <f>135398.15/D22</f>
        <v>1285.8323836657171</v>
      </c>
      <c r="F22" s="110">
        <f t="shared" si="0"/>
        <v>135398.15</v>
      </c>
      <c r="G22" s="284">
        <f>380*0.8*0.1</f>
        <v>30.400000000000002</v>
      </c>
      <c r="H22" s="284"/>
      <c r="I22" s="187">
        <f>SUM(G22+H22)</f>
        <v>30.400000000000002</v>
      </c>
      <c r="J22" s="285">
        <f>I22/D22</f>
        <v>0.28869895536562207</v>
      </c>
      <c r="K22" s="41">
        <f>E22*G22</f>
        <v>39089.304463437802</v>
      </c>
      <c r="L22" s="41"/>
      <c r="M22" s="41">
        <f>K22+L22</f>
        <v>39089.304463437802</v>
      </c>
    </row>
    <row r="23" spans="1:14">
      <c r="A23" s="85">
        <v>3.03</v>
      </c>
      <c r="B23" s="24" t="s">
        <v>47</v>
      </c>
      <c r="C23" s="77" t="s">
        <v>45</v>
      </c>
      <c r="D23" s="283">
        <v>216.49</v>
      </c>
      <c r="E23" s="110">
        <f>43429.21/D23</f>
        <v>200.60607880271604</v>
      </c>
      <c r="F23" s="110">
        <f t="shared" si="0"/>
        <v>43429.21</v>
      </c>
      <c r="G23" s="290">
        <v>98.8</v>
      </c>
      <c r="H23" s="290"/>
      <c r="I23" s="187">
        <f t="shared" ref="I23:I24" si="1">SUM(G23+H23)</f>
        <v>98.8</v>
      </c>
      <c r="J23" s="285">
        <f t="shared" ref="J23:J24" si="2">I23/D23</f>
        <v>0.45637211880456369</v>
      </c>
      <c r="K23" s="41">
        <f>E23*G23</f>
        <v>19819.880585708343</v>
      </c>
      <c r="L23" s="41"/>
      <c r="M23" s="41">
        <f>K23+L23</f>
        <v>19819.880585708343</v>
      </c>
      <c r="N23" s="291"/>
    </row>
    <row r="24" spans="1:14" ht="24.75">
      <c r="A24" s="85">
        <v>3.04</v>
      </c>
      <c r="B24" s="33" t="s">
        <v>198</v>
      </c>
      <c r="C24" s="77" t="s">
        <v>45</v>
      </c>
      <c r="D24" s="283">
        <v>1163.3699999999999</v>
      </c>
      <c r="E24" s="110">
        <f>153999.07/D24</f>
        <v>132.37325184593038</v>
      </c>
      <c r="F24" s="110">
        <f t="shared" si="0"/>
        <v>153999.07</v>
      </c>
      <c r="G24" s="284">
        <f>380*0.8*1.2</f>
        <v>364.8</v>
      </c>
      <c r="H24" s="284"/>
      <c r="I24" s="187">
        <f t="shared" si="1"/>
        <v>364.8</v>
      </c>
      <c r="J24" s="285">
        <f t="shared" si="2"/>
        <v>0.31357177853993146</v>
      </c>
      <c r="K24" s="41">
        <f>E24*G24</f>
        <v>48289.762273395405</v>
      </c>
      <c r="L24" s="41"/>
      <c r="M24" s="41">
        <f>K24+L24</f>
        <v>48289.762273395405</v>
      </c>
    </row>
    <row r="25" spans="1:14">
      <c r="A25" s="85"/>
      <c r="B25" s="42" t="s">
        <v>66</v>
      </c>
      <c r="C25" s="81"/>
      <c r="D25" s="289"/>
      <c r="E25" s="185"/>
      <c r="F25" s="185">
        <f>SUM(F21:F24)</f>
        <v>676149.17</v>
      </c>
      <c r="G25" s="290"/>
      <c r="H25" s="287"/>
      <c r="I25" s="290"/>
      <c r="J25" s="285"/>
      <c r="K25" s="880">
        <f>SUM(K21:K24)</f>
        <v>209222.51815343107</v>
      </c>
      <c r="L25" s="63"/>
      <c r="M25" s="63">
        <f>SUM(M21:M24)</f>
        <v>209222.51815343107</v>
      </c>
    </row>
    <row r="26" spans="1:14">
      <c r="A26" s="180">
        <v>4</v>
      </c>
      <c r="B26" s="23" t="s">
        <v>131</v>
      </c>
      <c r="C26" s="77"/>
      <c r="D26" s="283"/>
      <c r="E26" s="110"/>
      <c r="F26" s="110"/>
      <c r="G26" s="290"/>
      <c r="H26" s="287"/>
      <c r="I26" s="290"/>
      <c r="J26" s="285"/>
      <c r="K26" s="286"/>
      <c r="L26" s="41"/>
      <c r="M26" s="41"/>
    </row>
    <row r="27" spans="1:14" ht="24.75">
      <c r="A27" s="177">
        <v>4.01</v>
      </c>
      <c r="B27" s="33" t="s">
        <v>199</v>
      </c>
      <c r="C27" s="77" t="s">
        <v>21</v>
      </c>
      <c r="D27" s="283">
        <v>6</v>
      </c>
      <c r="E27" s="110">
        <v>3290.49</v>
      </c>
      <c r="F27" s="110">
        <f t="shared" si="0"/>
        <v>19742.939999999999</v>
      </c>
      <c r="G27" s="176"/>
      <c r="H27" s="176"/>
      <c r="I27" s="187"/>
      <c r="J27" s="285"/>
      <c r="K27" s="292"/>
      <c r="L27" s="72"/>
      <c r="M27" s="72"/>
    </row>
    <row r="28" spans="1:14" ht="24.75">
      <c r="A28" s="177">
        <v>4.0199999999999996</v>
      </c>
      <c r="B28" s="33" t="s">
        <v>200</v>
      </c>
      <c r="C28" s="77" t="s">
        <v>21</v>
      </c>
      <c r="D28" s="283">
        <v>8</v>
      </c>
      <c r="E28" s="110">
        <f>29833.78/D28</f>
        <v>3729.2224999999999</v>
      </c>
      <c r="F28" s="110">
        <f t="shared" si="0"/>
        <v>29833.78</v>
      </c>
      <c r="G28" s="176"/>
      <c r="H28" s="176"/>
      <c r="I28" s="187"/>
      <c r="J28" s="285"/>
      <c r="K28" s="282"/>
      <c r="L28" s="41"/>
      <c r="M28" s="41"/>
    </row>
    <row r="29" spans="1:14">
      <c r="A29" s="177"/>
      <c r="B29" s="42" t="s">
        <v>66</v>
      </c>
      <c r="C29" s="81"/>
      <c r="D29" s="289"/>
      <c r="E29" s="185"/>
      <c r="F29" s="185">
        <f>SUM(F27:F28)</f>
        <v>49576.72</v>
      </c>
      <c r="G29" s="176"/>
      <c r="H29" s="176"/>
      <c r="I29" s="187"/>
      <c r="J29" s="285"/>
      <c r="K29" s="282"/>
      <c r="L29" s="41"/>
      <c r="M29" s="41"/>
    </row>
    <row r="30" spans="1:14">
      <c r="A30" s="180" t="s">
        <v>34</v>
      </c>
      <c r="B30" s="23" t="s">
        <v>201</v>
      </c>
      <c r="C30" s="77"/>
      <c r="D30" s="283"/>
      <c r="E30" s="110"/>
      <c r="F30" s="110"/>
      <c r="G30" s="176"/>
      <c r="H30" s="176"/>
      <c r="I30" s="187"/>
      <c r="J30" s="285"/>
      <c r="K30" s="282"/>
      <c r="L30" s="41"/>
      <c r="M30" s="41"/>
    </row>
    <row r="31" spans="1:14">
      <c r="A31" s="85">
        <v>1</v>
      </c>
      <c r="B31" s="58" t="s">
        <v>37</v>
      </c>
      <c r="C31" s="77" t="s">
        <v>38</v>
      </c>
      <c r="D31" s="283">
        <v>1470</v>
      </c>
      <c r="E31" s="110">
        <f>117536.06/D31</f>
        <v>79.956503401360536</v>
      </c>
      <c r="F31" s="110">
        <f t="shared" si="0"/>
        <v>117536.05999999998</v>
      </c>
      <c r="G31" s="176"/>
      <c r="H31" s="176">
        <v>1256</v>
      </c>
      <c r="I31" s="187">
        <f t="shared" ref="I31" si="3">SUM(G31+H31)</f>
        <v>1256</v>
      </c>
      <c r="J31" s="285">
        <f t="shared" ref="J31" si="4">I31/D31</f>
        <v>0.85442176870748299</v>
      </c>
      <c r="K31" s="282"/>
      <c r="L31" s="41">
        <f>H31*E31</f>
        <v>100425.36827210883</v>
      </c>
      <c r="M31" s="41"/>
    </row>
    <row r="32" spans="1:14">
      <c r="A32" s="180">
        <v>2</v>
      </c>
      <c r="B32" s="42" t="s">
        <v>169</v>
      </c>
      <c r="C32" s="77"/>
      <c r="D32" s="283"/>
      <c r="E32" s="110"/>
      <c r="F32" s="110"/>
      <c r="G32" s="176"/>
      <c r="H32" s="176"/>
      <c r="I32" s="187"/>
      <c r="J32" s="293"/>
      <c r="K32" s="282"/>
      <c r="L32" s="63">
        <f>SUM(L31)</f>
        <v>100425.36827210883</v>
      </c>
      <c r="M32" s="63">
        <f>K32+L32</f>
        <v>100425.36827210883</v>
      </c>
      <c r="N32" s="294"/>
    </row>
    <row r="33" spans="1:13" ht="24.75">
      <c r="A33" s="177">
        <v>2.0099999999999998</v>
      </c>
      <c r="B33" s="33" t="s">
        <v>125</v>
      </c>
      <c r="C33" s="77" t="s">
        <v>38</v>
      </c>
      <c r="D33" s="283">
        <v>756</v>
      </c>
      <c r="E33" s="110">
        <f>4359678.89/D33</f>
        <v>5766.7710185185178</v>
      </c>
      <c r="F33" s="110">
        <f t="shared" si="0"/>
        <v>4359678.8899999997</v>
      </c>
      <c r="G33" s="176">
        <v>700</v>
      </c>
      <c r="H33" s="176">
        <v>56</v>
      </c>
      <c r="I33" s="187">
        <f t="shared" ref="I33" si="5">SUM(G33+H33)</f>
        <v>756</v>
      </c>
      <c r="J33" s="285">
        <f t="shared" ref="J33" si="6">I33/D33</f>
        <v>1</v>
      </c>
      <c r="K33" s="41">
        <f>E33*G33</f>
        <v>4036739.7129629627</v>
      </c>
      <c r="L33" s="41">
        <f>H33*E33</f>
        <v>322939.17703703698</v>
      </c>
      <c r="M33" s="41">
        <f>K33+L33</f>
        <v>4359678.8899999997</v>
      </c>
    </row>
    <row r="34" spans="1:13">
      <c r="A34" s="177">
        <v>2.02</v>
      </c>
      <c r="B34" s="886" t="s">
        <v>202</v>
      </c>
      <c r="C34" s="882" t="s">
        <v>38</v>
      </c>
      <c r="D34" s="883">
        <v>787.5</v>
      </c>
      <c r="E34" s="884">
        <f>3934825.743/D34</f>
        <v>4996.6041180952379</v>
      </c>
      <c r="F34" s="884">
        <f t="shared" si="0"/>
        <v>3934825.7429999998</v>
      </c>
      <c r="G34" s="176"/>
      <c r="H34" s="176"/>
      <c r="I34" s="187"/>
      <c r="J34" s="285"/>
      <c r="K34" s="41"/>
      <c r="L34" s="41"/>
      <c r="M34" s="41"/>
    </row>
    <row r="35" spans="1:13">
      <c r="A35" s="177"/>
      <c r="B35" s="42" t="s">
        <v>66</v>
      </c>
      <c r="C35" s="81"/>
      <c r="D35" s="289"/>
      <c r="E35" s="185"/>
      <c r="F35" s="185">
        <f>SUM(F31:F34)</f>
        <v>8412040.693</v>
      </c>
      <c r="G35" s="176"/>
      <c r="H35" s="176"/>
      <c r="I35" s="187"/>
      <c r="J35" s="285"/>
      <c r="K35" s="63">
        <f>SUM(K33)</f>
        <v>4036739.7129629627</v>
      </c>
      <c r="L35" s="63">
        <f>SUM(L33)</f>
        <v>322939.17703703698</v>
      </c>
      <c r="M35" s="63">
        <f>K35+L35</f>
        <v>4359678.8899999997</v>
      </c>
    </row>
    <row r="36" spans="1:13">
      <c r="A36" s="180">
        <v>3</v>
      </c>
      <c r="B36" s="23" t="s">
        <v>43</v>
      </c>
      <c r="C36" s="77"/>
      <c r="D36" s="283"/>
      <c r="E36" s="110"/>
      <c r="F36" s="110"/>
      <c r="G36" s="176"/>
      <c r="H36" s="176"/>
      <c r="I36" s="187"/>
      <c r="J36" s="285"/>
      <c r="K36" s="41"/>
      <c r="L36" s="41"/>
      <c r="M36" s="41"/>
    </row>
    <row r="37" spans="1:13">
      <c r="A37" s="177">
        <v>3.01</v>
      </c>
      <c r="B37" s="33" t="s">
        <v>44</v>
      </c>
      <c r="C37" s="77" t="s">
        <v>45</v>
      </c>
      <c r="D37" s="283">
        <v>1624.35</v>
      </c>
      <c r="E37" s="110">
        <f>419337.02/D37</f>
        <v>258.15681349462864</v>
      </c>
      <c r="F37" s="110">
        <f t="shared" si="0"/>
        <v>419337.02</v>
      </c>
      <c r="G37" s="176">
        <f>700*0.8*1-30</f>
        <v>530</v>
      </c>
      <c r="H37" s="176">
        <f>556*0.8*1.3</f>
        <v>578.24</v>
      </c>
      <c r="I37" s="187">
        <f t="shared" ref="I37" si="7">SUM(G37+H37)</f>
        <v>1108.24</v>
      </c>
      <c r="J37" s="285">
        <f t="shared" ref="J37:J40" si="8">I37/D37</f>
        <v>0.68226675285498817</v>
      </c>
      <c r="K37" s="41">
        <f>E37*G37</f>
        <v>136823.11115215317</v>
      </c>
      <c r="L37" s="41">
        <f>H37*E37</f>
        <v>149276.59583513407</v>
      </c>
      <c r="M37" s="41">
        <f>K37+L37</f>
        <v>286099.70698728727</v>
      </c>
    </row>
    <row r="38" spans="1:13">
      <c r="A38" s="177">
        <v>3.02</v>
      </c>
      <c r="B38" s="24" t="s">
        <v>197</v>
      </c>
      <c r="C38" s="77" t="s">
        <v>45</v>
      </c>
      <c r="D38" s="283">
        <v>66.94</v>
      </c>
      <c r="E38" s="110">
        <f>86070.4/D38</f>
        <v>1285.7842844338213</v>
      </c>
      <c r="F38" s="110">
        <f t="shared" si="0"/>
        <v>86070.399999999994</v>
      </c>
      <c r="G38" s="176">
        <f>700*0.8*0.1</f>
        <v>56</v>
      </c>
      <c r="H38" s="176">
        <f>D38-G38</f>
        <v>10.939999999999998</v>
      </c>
      <c r="I38" s="187">
        <f t="shared" ref="I38:I40" si="9">SUM(G38+H38)</f>
        <v>66.94</v>
      </c>
      <c r="J38" s="285">
        <f t="shared" si="8"/>
        <v>1</v>
      </c>
      <c r="K38" s="41">
        <f>E38*G38</f>
        <v>72003.919928293995</v>
      </c>
      <c r="L38" s="41">
        <f>H38*E38</f>
        <v>14066.480071706002</v>
      </c>
      <c r="M38" s="41">
        <f>K38+L38</f>
        <v>86070.399999999994</v>
      </c>
    </row>
    <row r="39" spans="1:13">
      <c r="A39" s="177">
        <v>3.03</v>
      </c>
      <c r="B39" s="33" t="s">
        <v>47</v>
      </c>
      <c r="C39" s="77" t="s">
        <v>45</v>
      </c>
      <c r="D39" s="283">
        <v>188.25</v>
      </c>
      <c r="E39" s="110">
        <f>37764.38/D39</f>
        <v>200.60759628154048</v>
      </c>
      <c r="F39" s="110">
        <f t="shared" si="0"/>
        <v>37764.379999999997</v>
      </c>
      <c r="G39" s="176">
        <v>56</v>
      </c>
      <c r="H39" s="176">
        <v>72</v>
      </c>
      <c r="I39" s="187">
        <f t="shared" si="9"/>
        <v>128</v>
      </c>
      <c r="J39" s="285">
        <f t="shared" si="8"/>
        <v>0.67994687915006635</v>
      </c>
      <c r="K39" s="41">
        <f t="shared" ref="K39:K40" si="10">E39*G39</f>
        <v>11234.025391766267</v>
      </c>
      <c r="L39" s="41">
        <f>H39*E39</f>
        <v>14443.746932270915</v>
      </c>
      <c r="M39" s="41">
        <f>K39+L39</f>
        <v>25677.772324037182</v>
      </c>
    </row>
    <row r="40" spans="1:13">
      <c r="A40" s="177">
        <v>3.04</v>
      </c>
      <c r="B40" s="24" t="s">
        <v>198</v>
      </c>
      <c r="C40" s="77" t="s">
        <v>45</v>
      </c>
      <c r="D40" s="283">
        <v>1479.54</v>
      </c>
      <c r="E40" s="110">
        <f>195851.77/D40</f>
        <v>132.3734201170634</v>
      </c>
      <c r="F40" s="110">
        <f t="shared" si="0"/>
        <v>195851.77</v>
      </c>
      <c r="G40" s="176">
        <f>700*0.8*1.2</f>
        <v>672</v>
      </c>
      <c r="H40" s="176">
        <v>788.74</v>
      </c>
      <c r="I40" s="187">
        <f t="shared" si="9"/>
        <v>1460.74</v>
      </c>
      <c r="J40" s="285">
        <f t="shared" si="8"/>
        <v>0.98729334793246548</v>
      </c>
      <c r="K40" s="41">
        <f t="shared" si="10"/>
        <v>88954.938318666609</v>
      </c>
      <c r="L40" s="41">
        <f>H40*E40</f>
        <v>104408.21138313258</v>
      </c>
      <c r="M40" s="41">
        <f>K40+L40</f>
        <v>193363.14970179921</v>
      </c>
    </row>
    <row r="41" spans="1:13">
      <c r="A41" s="177"/>
      <c r="B41" s="42" t="s">
        <v>66</v>
      </c>
      <c r="C41" s="81"/>
      <c r="D41" s="289"/>
      <c r="E41" s="185"/>
      <c r="F41" s="185">
        <f>SUM(F37:F40)</f>
        <v>739023.57000000007</v>
      </c>
      <c r="G41" s="176"/>
      <c r="H41" s="176"/>
      <c r="I41" s="187"/>
      <c r="J41" s="285"/>
      <c r="K41" s="63">
        <f>SUM(K37:K40)</f>
        <v>309015.99479088007</v>
      </c>
      <c r="L41" s="63">
        <f>SUM(L37:L40)</f>
        <v>282195.03422224359</v>
      </c>
      <c r="M41" s="63">
        <f>K41+L41</f>
        <v>591211.0290131236</v>
      </c>
    </row>
    <row r="42" spans="1:13">
      <c r="A42" s="180">
        <v>4</v>
      </c>
      <c r="B42" s="23" t="s">
        <v>131</v>
      </c>
      <c r="C42" s="77"/>
      <c r="D42" s="283"/>
      <c r="E42" s="110"/>
      <c r="F42" s="110"/>
      <c r="G42" s="176"/>
      <c r="H42" s="176"/>
      <c r="I42" s="187"/>
      <c r="J42" s="285"/>
      <c r="K42" s="295"/>
      <c r="L42" s="41"/>
      <c r="M42" s="41"/>
    </row>
    <row r="43" spans="1:13" ht="24.75">
      <c r="A43" s="85">
        <v>4.01</v>
      </c>
      <c r="B43" s="58" t="s">
        <v>203</v>
      </c>
      <c r="C43" s="77" t="s">
        <v>21</v>
      </c>
      <c r="D43" s="283">
        <v>12</v>
      </c>
      <c r="E43" s="110">
        <f>44750.66/D43</f>
        <v>3729.2216666666668</v>
      </c>
      <c r="F43" s="110">
        <f t="shared" si="0"/>
        <v>44750.66</v>
      </c>
      <c r="G43" s="176"/>
      <c r="H43" s="176"/>
      <c r="I43" s="187"/>
      <c r="J43" s="285"/>
      <c r="K43" s="292"/>
      <c r="L43" s="72"/>
      <c r="M43" s="72"/>
    </row>
    <row r="44" spans="1:13">
      <c r="A44" s="85"/>
      <c r="B44" s="59" t="s">
        <v>66</v>
      </c>
      <c r="C44" s="81"/>
      <c r="D44" s="289"/>
      <c r="E44" s="185"/>
      <c r="F44" s="185">
        <f>F43</f>
        <v>44750.66</v>
      </c>
      <c r="G44" s="176"/>
      <c r="H44" s="176"/>
      <c r="I44" s="187"/>
      <c r="J44" s="285"/>
      <c r="K44" s="292"/>
      <c r="L44" s="72"/>
      <c r="M44" s="72"/>
    </row>
    <row r="45" spans="1:13">
      <c r="A45" s="180" t="s">
        <v>57</v>
      </c>
      <c r="B45" s="887" t="s">
        <v>204</v>
      </c>
      <c r="C45" s="77"/>
      <c r="D45" s="283"/>
      <c r="E45" s="110"/>
      <c r="F45" s="110"/>
      <c r="G45" s="176"/>
      <c r="H45" s="176"/>
      <c r="I45" s="187"/>
      <c r="J45" s="285"/>
      <c r="K45" s="282"/>
      <c r="L45" s="41"/>
      <c r="M45" s="41"/>
    </row>
    <row r="46" spans="1:13">
      <c r="A46" s="177">
        <v>1</v>
      </c>
      <c r="B46" s="55" t="s">
        <v>36</v>
      </c>
      <c r="C46" s="77"/>
      <c r="D46" s="283"/>
      <c r="E46" s="110"/>
      <c r="F46" s="110"/>
      <c r="G46" s="176"/>
      <c r="H46" s="176"/>
      <c r="I46" s="187"/>
      <c r="J46" s="285"/>
      <c r="K46" s="282"/>
      <c r="L46" s="41"/>
      <c r="M46" s="41"/>
    </row>
    <row r="47" spans="1:13">
      <c r="A47" s="177">
        <v>1.01</v>
      </c>
      <c r="B47" s="888" t="s">
        <v>37</v>
      </c>
      <c r="C47" s="77" t="s">
        <v>55</v>
      </c>
      <c r="D47" s="283">
        <v>1</v>
      </c>
      <c r="E47" s="110">
        <v>22345.8</v>
      </c>
      <c r="F47" s="110">
        <f t="shared" si="0"/>
        <v>22345.8</v>
      </c>
      <c r="G47" s="176"/>
      <c r="H47" s="176"/>
      <c r="I47" s="187"/>
      <c r="J47" s="285"/>
      <c r="K47" s="282"/>
      <c r="L47" s="41"/>
      <c r="M47" s="41"/>
    </row>
    <row r="48" spans="1:13">
      <c r="A48" s="177">
        <v>1.02</v>
      </c>
      <c r="B48" s="55" t="s">
        <v>205</v>
      </c>
      <c r="C48" s="77" t="s">
        <v>21</v>
      </c>
      <c r="D48" s="283">
        <v>1</v>
      </c>
      <c r="E48" s="110">
        <v>40325</v>
      </c>
      <c r="F48" s="110">
        <f t="shared" si="0"/>
        <v>40325</v>
      </c>
      <c r="G48" s="176"/>
      <c r="H48" s="176"/>
      <c r="I48" s="187"/>
      <c r="J48" s="285"/>
      <c r="K48" s="282"/>
      <c r="L48" s="41"/>
      <c r="M48" s="41"/>
    </row>
    <row r="49" spans="1:13">
      <c r="A49" s="177"/>
      <c r="B49" s="182" t="s">
        <v>39</v>
      </c>
      <c r="C49" s="81"/>
      <c r="D49" s="289"/>
      <c r="E49" s="185"/>
      <c r="F49" s="185">
        <f>SUM(F47:F48)</f>
        <v>62670.8</v>
      </c>
      <c r="G49" s="176"/>
      <c r="H49" s="176"/>
      <c r="I49" s="187"/>
      <c r="J49" s="285"/>
      <c r="K49" s="282"/>
      <c r="L49" s="41"/>
      <c r="M49" s="41"/>
    </row>
    <row r="50" spans="1:13">
      <c r="A50" s="180">
        <v>2</v>
      </c>
      <c r="B50" s="887" t="s">
        <v>43</v>
      </c>
      <c r="C50" s="77"/>
      <c r="D50" s="283"/>
      <c r="E50" s="110"/>
      <c r="F50" s="110"/>
      <c r="G50" s="176"/>
      <c r="H50" s="176"/>
      <c r="I50" s="187"/>
      <c r="J50" s="285"/>
      <c r="K50" s="282"/>
      <c r="L50" s="41"/>
      <c r="M50" s="41"/>
    </row>
    <row r="51" spans="1:13" ht="24">
      <c r="A51" s="177">
        <v>2.0099999999999998</v>
      </c>
      <c r="B51" s="55" t="s">
        <v>206</v>
      </c>
      <c r="C51" s="77" t="s">
        <v>45</v>
      </c>
      <c r="D51" s="283">
        <v>205.76</v>
      </c>
      <c r="E51" s="110">
        <v>258.15080699999999</v>
      </c>
      <c r="F51" s="110">
        <f t="shared" si="0"/>
        <v>53117.110048319992</v>
      </c>
      <c r="G51" s="176"/>
      <c r="H51" s="176"/>
      <c r="I51" s="187"/>
      <c r="J51" s="285"/>
      <c r="K51" s="282"/>
      <c r="L51" s="41"/>
      <c r="M51" s="41"/>
    </row>
    <row r="52" spans="1:13" ht="36">
      <c r="A52" s="177">
        <v>2.02</v>
      </c>
      <c r="B52" s="55" t="s">
        <v>207</v>
      </c>
      <c r="C52" s="77" t="s">
        <v>45</v>
      </c>
      <c r="D52" s="283">
        <v>15.89</v>
      </c>
      <c r="E52" s="110">
        <v>990.17431999999997</v>
      </c>
      <c r="F52" s="110">
        <f t="shared" si="0"/>
        <v>15733.869944800001</v>
      </c>
      <c r="G52" s="176"/>
      <c r="H52" s="176"/>
      <c r="I52" s="187"/>
      <c r="J52" s="285"/>
      <c r="K52" s="282"/>
      <c r="L52" s="41"/>
      <c r="M52" s="41"/>
    </row>
    <row r="53" spans="1:13" ht="48">
      <c r="A53" s="177">
        <v>2.0299999999999998</v>
      </c>
      <c r="B53" s="55" t="s">
        <v>208</v>
      </c>
      <c r="C53" s="77" t="s">
        <v>45</v>
      </c>
      <c r="D53" s="283">
        <v>227.83</v>
      </c>
      <c r="E53" s="110">
        <f>45704.37/D53</f>
        <v>200.60733880524953</v>
      </c>
      <c r="F53" s="110">
        <f t="shared" si="0"/>
        <v>45704.37</v>
      </c>
      <c r="G53" s="176"/>
      <c r="H53" s="176"/>
      <c r="I53" s="187"/>
      <c r="J53" s="285"/>
      <c r="K53" s="282"/>
      <c r="L53" s="41"/>
      <c r="M53" s="41"/>
    </row>
    <row r="54" spans="1:13">
      <c r="A54" s="177"/>
      <c r="B54" s="182" t="s">
        <v>39</v>
      </c>
      <c r="C54" s="81"/>
      <c r="D54" s="289"/>
      <c r="E54" s="185"/>
      <c r="F54" s="185">
        <f>SUM(F51:F53)</f>
        <v>114555.34999312001</v>
      </c>
      <c r="G54" s="176"/>
      <c r="H54" s="176"/>
      <c r="I54" s="187"/>
      <c r="J54" s="285"/>
      <c r="K54" s="282"/>
      <c r="L54" s="41"/>
      <c r="M54" s="41"/>
    </row>
    <row r="55" spans="1:13">
      <c r="A55" s="177">
        <v>3</v>
      </c>
      <c r="B55" s="55" t="s">
        <v>209</v>
      </c>
      <c r="C55" s="77"/>
      <c r="D55" s="283"/>
      <c r="E55" s="110"/>
      <c r="F55" s="110"/>
      <c r="G55" s="176"/>
      <c r="H55" s="176"/>
      <c r="I55" s="187"/>
      <c r="J55" s="285"/>
      <c r="K55" s="282"/>
      <c r="L55" s="41"/>
      <c r="M55" s="41"/>
    </row>
    <row r="56" spans="1:13" ht="24">
      <c r="A56" s="177">
        <v>3.01</v>
      </c>
      <c r="B56" s="55" t="s">
        <v>210</v>
      </c>
      <c r="C56" s="77" t="s">
        <v>45</v>
      </c>
      <c r="D56" s="283">
        <v>16.87</v>
      </c>
      <c r="E56" s="110">
        <f>267425.6/D56</f>
        <v>15852.139893301717</v>
      </c>
      <c r="F56" s="110">
        <f t="shared" si="0"/>
        <v>267425.59999999998</v>
      </c>
      <c r="G56" s="176"/>
      <c r="H56" s="176"/>
      <c r="I56" s="187"/>
      <c r="J56" s="285"/>
      <c r="K56" s="282"/>
      <c r="L56" s="41"/>
      <c r="M56" s="41"/>
    </row>
    <row r="57" spans="1:13">
      <c r="A57" s="177">
        <v>3.02</v>
      </c>
      <c r="B57" s="55" t="s">
        <v>211</v>
      </c>
      <c r="C57" s="77" t="s">
        <v>45</v>
      </c>
      <c r="D57" s="283">
        <v>21.02</v>
      </c>
      <c r="E57" s="110">
        <f>230242.3/D57</f>
        <v>10953.48715509039</v>
      </c>
      <c r="F57" s="110">
        <f t="shared" si="0"/>
        <v>230242.3</v>
      </c>
      <c r="G57" s="176"/>
      <c r="H57" s="176"/>
      <c r="I57" s="187"/>
      <c r="J57" s="285"/>
      <c r="K57" s="282"/>
      <c r="L57" s="41"/>
      <c r="M57" s="41"/>
    </row>
    <row r="58" spans="1:13" ht="24">
      <c r="A58" s="177">
        <v>3.03</v>
      </c>
      <c r="B58" s="55" t="s">
        <v>212</v>
      </c>
      <c r="C58" s="77" t="s">
        <v>45</v>
      </c>
      <c r="D58" s="283">
        <v>1.39</v>
      </c>
      <c r="E58" s="110">
        <f>20572.09/D58</f>
        <v>14800.064748201439</v>
      </c>
      <c r="F58" s="110">
        <f t="shared" si="0"/>
        <v>20572.09</v>
      </c>
      <c r="G58" s="176"/>
      <c r="H58" s="176"/>
      <c r="I58" s="187"/>
      <c r="J58" s="285"/>
      <c r="K58" s="282"/>
      <c r="L58" s="41"/>
      <c r="M58" s="41"/>
    </row>
    <row r="59" spans="1:13" ht="24">
      <c r="A59" s="177">
        <v>3.04</v>
      </c>
      <c r="B59" s="55" t="s">
        <v>213</v>
      </c>
      <c r="C59" s="77" t="s">
        <v>45</v>
      </c>
      <c r="D59" s="283">
        <v>1.46</v>
      </c>
      <c r="E59" s="110">
        <f>24093.14/D59</f>
        <v>16502.150684931508</v>
      </c>
      <c r="F59" s="110">
        <f t="shared" si="0"/>
        <v>24093.140000000003</v>
      </c>
      <c r="G59" s="176"/>
      <c r="H59" s="176"/>
      <c r="I59" s="187"/>
      <c r="J59" s="285"/>
      <c r="K59" s="282"/>
      <c r="L59" s="41"/>
      <c r="M59" s="41"/>
    </row>
    <row r="60" spans="1:13">
      <c r="A60" s="177">
        <v>3.05</v>
      </c>
      <c r="B60" s="888" t="s">
        <v>214</v>
      </c>
      <c r="C60" s="77" t="s">
        <v>45</v>
      </c>
      <c r="D60" s="283">
        <v>43.74</v>
      </c>
      <c r="E60" s="110">
        <f>1286488.38/D60</f>
        <v>29412.171467764056</v>
      </c>
      <c r="F60" s="110">
        <f t="shared" si="0"/>
        <v>1286488.3799999999</v>
      </c>
      <c r="G60" s="176"/>
      <c r="H60" s="176"/>
      <c r="I60" s="187"/>
      <c r="J60" s="285"/>
      <c r="K60" s="282"/>
      <c r="L60" s="41"/>
      <c r="M60" s="41"/>
    </row>
    <row r="61" spans="1:13" ht="24">
      <c r="A61" s="177">
        <v>3.06</v>
      </c>
      <c r="B61" s="55" t="s">
        <v>215</v>
      </c>
      <c r="C61" s="77" t="s">
        <v>45</v>
      </c>
      <c r="D61" s="283">
        <v>1.66</v>
      </c>
      <c r="E61" s="110">
        <f>59380.56/D61</f>
        <v>35771.421686746988</v>
      </c>
      <c r="F61" s="110">
        <f t="shared" si="0"/>
        <v>59380.56</v>
      </c>
      <c r="G61" s="176"/>
      <c r="H61" s="176"/>
      <c r="I61" s="187"/>
      <c r="J61" s="285"/>
      <c r="K61" s="282"/>
      <c r="L61" s="41"/>
      <c r="M61" s="41"/>
    </row>
    <row r="62" spans="1:13" ht="24">
      <c r="A62" s="177">
        <v>3.07</v>
      </c>
      <c r="B62" s="55" t="s">
        <v>216</v>
      </c>
      <c r="C62" s="77" t="s">
        <v>45</v>
      </c>
      <c r="D62" s="283">
        <v>3.32</v>
      </c>
      <c r="E62" s="110">
        <f>109849.79/D62</f>
        <v>33087.286144578313</v>
      </c>
      <c r="F62" s="110">
        <f t="shared" si="0"/>
        <v>109849.79</v>
      </c>
      <c r="G62" s="176"/>
      <c r="H62" s="176"/>
      <c r="I62" s="187"/>
      <c r="J62" s="285"/>
      <c r="K62" s="282"/>
      <c r="L62" s="41"/>
      <c r="M62" s="41"/>
    </row>
    <row r="63" spans="1:13">
      <c r="A63" s="177">
        <v>3.08</v>
      </c>
      <c r="B63" s="55" t="s">
        <v>217</v>
      </c>
      <c r="C63" s="77" t="s">
        <v>45</v>
      </c>
      <c r="D63" s="283">
        <v>2.68</v>
      </c>
      <c r="E63" s="110">
        <f>85110.05/D63</f>
        <v>31757.48134328358</v>
      </c>
      <c r="F63" s="110">
        <f t="shared" si="0"/>
        <v>85110.05</v>
      </c>
      <c r="G63" s="176"/>
      <c r="H63" s="176"/>
      <c r="I63" s="187"/>
      <c r="J63" s="285"/>
      <c r="K63" s="282"/>
      <c r="L63" s="41"/>
      <c r="M63" s="41"/>
    </row>
    <row r="64" spans="1:13">
      <c r="A64" s="85">
        <v>3.09</v>
      </c>
      <c r="B64" s="296" t="s">
        <v>218</v>
      </c>
      <c r="C64" s="297" t="s">
        <v>45</v>
      </c>
      <c r="D64" s="298">
        <v>19.48</v>
      </c>
      <c r="E64" s="299">
        <v>16471.975900000001</v>
      </c>
      <c r="F64" s="110">
        <f t="shared" si="0"/>
        <v>320874.09053200006</v>
      </c>
      <c r="G64" s="176"/>
      <c r="H64" s="176"/>
      <c r="I64" s="187"/>
      <c r="J64" s="285"/>
      <c r="K64" s="282"/>
      <c r="L64" s="41"/>
      <c r="M64" s="41"/>
    </row>
    <row r="65" spans="1:13" ht="24">
      <c r="A65" s="177">
        <v>3.1</v>
      </c>
      <c r="B65" s="55" t="s">
        <v>219</v>
      </c>
      <c r="C65" s="77" t="s">
        <v>45</v>
      </c>
      <c r="D65" s="283">
        <v>0.06</v>
      </c>
      <c r="E65" s="110">
        <v>27673</v>
      </c>
      <c r="F65" s="110">
        <f t="shared" si="0"/>
        <v>1660.3799999999999</v>
      </c>
      <c r="G65" s="176"/>
      <c r="H65" s="176"/>
      <c r="I65" s="187"/>
      <c r="J65" s="285"/>
      <c r="K65" s="282"/>
      <c r="L65" s="41"/>
      <c r="M65" s="41"/>
    </row>
    <row r="66" spans="1:13">
      <c r="A66" s="177"/>
      <c r="B66" s="182" t="s">
        <v>39</v>
      </c>
      <c r="C66" s="81"/>
      <c r="D66" s="289"/>
      <c r="E66" s="185"/>
      <c r="F66" s="185">
        <f>SUM(F56:F65)</f>
        <v>2405696.3805319997</v>
      </c>
      <c r="G66" s="176"/>
      <c r="H66" s="176"/>
      <c r="I66" s="187"/>
      <c r="J66" s="285"/>
      <c r="K66" s="282"/>
      <c r="L66" s="41"/>
      <c r="M66" s="41"/>
    </row>
    <row r="67" spans="1:13">
      <c r="A67" s="180">
        <v>4</v>
      </c>
      <c r="B67" s="887" t="s">
        <v>220</v>
      </c>
      <c r="C67" s="77"/>
      <c r="D67" s="283"/>
      <c r="E67" s="110"/>
      <c r="F67" s="110"/>
      <c r="G67" s="176"/>
      <c r="H67" s="176"/>
      <c r="I67" s="187"/>
      <c r="J67" s="285"/>
      <c r="K67" s="282"/>
      <c r="L67" s="41"/>
      <c r="M67" s="41"/>
    </row>
    <row r="68" spans="1:13">
      <c r="A68" s="177">
        <v>4.01</v>
      </c>
      <c r="B68" s="55" t="s">
        <v>221</v>
      </c>
      <c r="C68" s="77" t="s">
        <v>222</v>
      </c>
      <c r="D68" s="283">
        <v>319.64</v>
      </c>
      <c r="E68" s="110">
        <v>416.050588</v>
      </c>
      <c r="F68" s="110">
        <f t="shared" si="0"/>
        <v>132986.40994831998</v>
      </c>
      <c r="G68" s="176"/>
      <c r="H68" s="176"/>
      <c r="I68" s="187"/>
      <c r="J68" s="285"/>
      <c r="K68" s="282"/>
      <c r="L68" s="41"/>
      <c r="M68" s="41"/>
    </row>
    <row r="69" spans="1:13">
      <c r="A69" s="177">
        <v>4.0199999999999996</v>
      </c>
      <c r="B69" s="55" t="s">
        <v>223</v>
      </c>
      <c r="C69" s="77" t="s">
        <v>222</v>
      </c>
      <c r="D69" s="283">
        <v>292.58</v>
      </c>
      <c r="E69" s="110">
        <v>682.58633499999996</v>
      </c>
      <c r="F69" s="110">
        <f t="shared" si="0"/>
        <v>199711.10989429997</v>
      </c>
      <c r="G69" s="176"/>
      <c r="H69" s="176"/>
      <c r="I69" s="187"/>
      <c r="J69" s="285"/>
      <c r="K69" s="282"/>
      <c r="L69" s="41"/>
      <c r="M69" s="41"/>
    </row>
    <row r="70" spans="1:13">
      <c r="A70" s="177">
        <v>4.03</v>
      </c>
      <c r="B70" s="55" t="s">
        <v>224</v>
      </c>
      <c r="C70" s="77" t="s">
        <v>222</v>
      </c>
      <c r="D70" s="283">
        <v>129.88</v>
      </c>
      <c r="E70" s="110">
        <v>634.13651100000004</v>
      </c>
      <c r="F70" s="110">
        <f t="shared" si="0"/>
        <v>82361.650048680007</v>
      </c>
      <c r="G70" s="176"/>
      <c r="H70" s="176"/>
      <c r="I70" s="187"/>
      <c r="J70" s="285"/>
      <c r="K70" s="282"/>
      <c r="L70" s="41"/>
      <c r="M70" s="41"/>
    </row>
    <row r="71" spans="1:13">
      <c r="A71" s="177">
        <v>4.04</v>
      </c>
      <c r="B71" s="55" t="s">
        <v>225</v>
      </c>
      <c r="C71" s="77" t="s">
        <v>222</v>
      </c>
      <c r="D71" s="283">
        <v>129.88</v>
      </c>
      <c r="E71" s="110">
        <v>634.13651100000004</v>
      </c>
      <c r="F71" s="110">
        <f t="shared" si="0"/>
        <v>82361.650048680007</v>
      </c>
      <c r="G71" s="176"/>
      <c r="H71" s="176"/>
      <c r="I71" s="187"/>
      <c r="J71" s="285"/>
      <c r="K71" s="282"/>
      <c r="L71" s="41"/>
      <c r="M71" s="41"/>
    </row>
    <row r="72" spans="1:13">
      <c r="A72" s="177">
        <v>4.05</v>
      </c>
      <c r="B72" s="55" t="s">
        <v>226</v>
      </c>
      <c r="C72" s="77" t="s">
        <v>222</v>
      </c>
      <c r="D72" s="283">
        <v>184.24</v>
      </c>
      <c r="E72" s="110">
        <v>188.10258400000001</v>
      </c>
      <c r="F72" s="110">
        <f t="shared" si="0"/>
        <v>34656.020076160006</v>
      </c>
      <c r="G72" s="176"/>
      <c r="H72" s="176"/>
      <c r="I72" s="187"/>
      <c r="J72" s="285"/>
      <c r="K72" s="282"/>
      <c r="L72" s="41"/>
      <c r="M72" s="41"/>
    </row>
    <row r="73" spans="1:13" ht="24">
      <c r="A73" s="177">
        <v>4.0599999999999996</v>
      </c>
      <c r="B73" s="55" t="s">
        <v>227</v>
      </c>
      <c r="C73" s="77" t="s">
        <v>222</v>
      </c>
      <c r="D73" s="283">
        <v>258.42</v>
      </c>
      <c r="E73" s="110">
        <v>326.29308900000001</v>
      </c>
      <c r="F73" s="110">
        <f t="shared" si="0"/>
        <v>84320.66005938001</v>
      </c>
      <c r="G73" s="176"/>
      <c r="H73" s="176"/>
      <c r="I73" s="187"/>
      <c r="J73" s="285"/>
      <c r="K73" s="282"/>
      <c r="L73" s="41"/>
      <c r="M73" s="41"/>
    </row>
    <row r="74" spans="1:13">
      <c r="A74" s="177"/>
      <c r="B74" s="182" t="s">
        <v>39</v>
      </c>
      <c r="C74" s="81"/>
      <c r="D74" s="289"/>
      <c r="E74" s="185"/>
      <c r="F74" s="185">
        <f>SUM(F68:F73)</f>
        <v>616397.50007552002</v>
      </c>
      <c r="G74" s="176"/>
      <c r="H74" s="176"/>
      <c r="I74" s="187"/>
      <c r="J74" s="285"/>
      <c r="K74" s="282"/>
      <c r="L74" s="41"/>
      <c r="M74" s="41"/>
    </row>
    <row r="75" spans="1:13" ht="36">
      <c r="A75" s="177">
        <v>5</v>
      </c>
      <c r="B75" s="55" t="s">
        <v>228</v>
      </c>
      <c r="C75" s="77"/>
      <c r="D75" s="283"/>
      <c r="E75" s="110"/>
      <c r="F75" s="110"/>
      <c r="G75" s="176"/>
      <c r="H75" s="176"/>
      <c r="I75" s="187"/>
      <c r="J75" s="285"/>
      <c r="K75" s="282"/>
      <c r="L75" s="41"/>
      <c r="M75" s="41"/>
    </row>
    <row r="76" spans="1:13">
      <c r="A76" s="177">
        <v>5.01</v>
      </c>
      <c r="B76" s="55" t="s">
        <v>229</v>
      </c>
      <c r="C76" s="77" t="s">
        <v>21</v>
      </c>
      <c r="D76" s="283">
        <v>1</v>
      </c>
      <c r="E76" s="110">
        <v>19513.73</v>
      </c>
      <c r="F76" s="110">
        <f t="shared" si="0"/>
        <v>19513.73</v>
      </c>
      <c r="G76" s="176"/>
      <c r="H76" s="176"/>
      <c r="I76" s="187"/>
      <c r="J76" s="285"/>
      <c r="K76" s="282"/>
      <c r="L76" s="41"/>
      <c r="M76" s="41"/>
    </row>
    <row r="77" spans="1:13">
      <c r="A77" s="177">
        <v>5.0199999999999996</v>
      </c>
      <c r="B77" s="55" t="s">
        <v>230</v>
      </c>
      <c r="C77" s="77" t="s">
        <v>21</v>
      </c>
      <c r="D77" s="283">
        <v>1</v>
      </c>
      <c r="E77" s="110">
        <v>10198.629999999999</v>
      </c>
      <c r="F77" s="110">
        <f t="shared" si="0"/>
        <v>10198.629999999999</v>
      </c>
      <c r="G77" s="176"/>
      <c r="H77" s="176"/>
      <c r="I77" s="187"/>
      <c r="J77" s="285"/>
      <c r="K77" s="282"/>
      <c r="L77" s="41"/>
      <c r="M77" s="41"/>
    </row>
    <row r="78" spans="1:13">
      <c r="A78" s="177">
        <v>5.03</v>
      </c>
      <c r="B78" s="55" t="s">
        <v>231</v>
      </c>
      <c r="C78" s="77" t="s">
        <v>21</v>
      </c>
      <c r="D78" s="283">
        <v>3</v>
      </c>
      <c r="E78" s="110">
        <v>16760.866699999999</v>
      </c>
      <c r="F78" s="110">
        <f t="shared" si="0"/>
        <v>50282.600099999996</v>
      </c>
      <c r="G78" s="176"/>
      <c r="H78" s="176"/>
      <c r="I78" s="187"/>
      <c r="J78" s="285"/>
      <c r="K78" s="282"/>
      <c r="L78" s="41"/>
      <c r="M78" s="41"/>
    </row>
    <row r="79" spans="1:13">
      <c r="A79" s="177">
        <v>5.04</v>
      </c>
      <c r="B79" s="55" t="s">
        <v>232</v>
      </c>
      <c r="C79" s="77" t="s">
        <v>21</v>
      </c>
      <c r="D79" s="283">
        <v>1</v>
      </c>
      <c r="E79" s="110">
        <v>13738.46</v>
      </c>
      <c r="F79" s="110">
        <f t="shared" si="0"/>
        <v>13738.46</v>
      </c>
      <c r="G79" s="176"/>
      <c r="H79" s="176"/>
      <c r="I79" s="187"/>
      <c r="J79" s="285"/>
      <c r="K79" s="282"/>
      <c r="L79" s="41"/>
      <c r="M79" s="41"/>
    </row>
    <row r="80" spans="1:13" ht="24">
      <c r="A80" s="177">
        <v>5.05</v>
      </c>
      <c r="B80" s="55" t="s">
        <v>233</v>
      </c>
      <c r="C80" s="77" t="s">
        <v>21</v>
      </c>
      <c r="D80" s="283">
        <v>3</v>
      </c>
      <c r="E80" s="110">
        <v>2756.05</v>
      </c>
      <c r="F80" s="110">
        <f t="shared" si="0"/>
        <v>8268.1500000000015</v>
      </c>
      <c r="G80" s="176"/>
      <c r="H80" s="176"/>
      <c r="I80" s="187"/>
      <c r="J80" s="285"/>
      <c r="K80" s="282"/>
      <c r="L80" s="41"/>
      <c r="M80" s="41"/>
    </row>
    <row r="81" spans="1:13" ht="24">
      <c r="A81" s="177">
        <v>5.0599999999999996</v>
      </c>
      <c r="B81" s="55" t="s">
        <v>234</v>
      </c>
      <c r="C81" s="77" t="s">
        <v>21</v>
      </c>
      <c r="D81" s="283">
        <v>1</v>
      </c>
      <c r="E81" s="110">
        <v>1826.45</v>
      </c>
      <c r="F81" s="110">
        <f t="shared" si="0"/>
        <v>1826.45</v>
      </c>
      <c r="G81" s="176"/>
      <c r="H81" s="176"/>
      <c r="I81" s="187"/>
      <c r="J81" s="285"/>
      <c r="K81" s="282"/>
      <c r="L81" s="41"/>
      <c r="M81" s="41"/>
    </row>
    <row r="82" spans="1:13" ht="60">
      <c r="A82" s="177">
        <v>5.07</v>
      </c>
      <c r="B82" s="55" t="s">
        <v>235</v>
      </c>
      <c r="C82" s="77" t="s">
        <v>21</v>
      </c>
      <c r="D82" s="283">
        <v>1</v>
      </c>
      <c r="E82" s="110">
        <v>41924.949999999997</v>
      </c>
      <c r="F82" s="110">
        <f t="shared" si="0"/>
        <v>41924.949999999997</v>
      </c>
      <c r="G82" s="176"/>
      <c r="H82" s="176"/>
      <c r="I82" s="187"/>
      <c r="J82" s="285"/>
      <c r="K82" s="282"/>
      <c r="L82" s="41"/>
      <c r="M82" s="41"/>
    </row>
    <row r="83" spans="1:13">
      <c r="A83" s="85">
        <v>5.08</v>
      </c>
      <c r="B83" s="55" t="s">
        <v>236</v>
      </c>
      <c r="C83" s="297" t="s">
        <v>237</v>
      </c>
      <c r="D83" s="300">
        <v>24.03</v>
      </c>
      <c r="E83" s="299">
        <v>9818.8456100000003</v>
      </c>
      <c r="F83" s="110">
        <f t="shared" si="0"/>
        <v>235946.86000830002</v>
      </c>
      <c r="G83" s="176"/>
      <c r="H83" s="176"/>
      <c r="I83" s="187"/>
      <c r="J83" s="285"/>
      <c r="K83" s="282"/>
      <c r="L83" s="41"/>
      <c r="M83" s="41"/>
    </row>
    <row r="84" spans="1:13">
      <c r="A84" s="177">
        <v>5.09</v>
      </c>
      <c r="B84" s="55" t="s">
        <v>238</v>
      </c>
      <c r="C84" s="77" t="s">
        <v>237</v>
      </c>
      <c r="D84" s="283">
        <v>19.88</v>
      </c>
      <c r="E84" s="110">
        <v>4996.60412</v>
      </c>
      <c r="F84" s="110">
        <f t="shared" si="0"/>
        <v>99332.489905599999</v>
      </c>
      <c r="G84" s="176"/>
      <c r="H84" s="176"/>
      <c r="I84" s="187"/>
      <c r="J84" s="285"/>
      <c r="K84" s="282"/>
      <c r="L84" s="41"/>
      <c r="M84" s="41"/>
    </row>
    <row r="85" spans="1:13" ht="24">
      <c r="A85" s="177">
        <v>5.0999999999999996</v>
      </c>
      <c r="B85" s="55" t="s">
        <v>239</v>
      </c>
      <c r="C85" s="77" t="s">
        <v>21</v>
      </c>
      <c r="D85" s="283">
        <v>4.68</v>
      </c>
      <c r="E85" s="110">
        <v>5200.7072600000001</v>
      </c>
      <c r="F85" s="110">
        <f t="shared" si="0"/>
        <v>24339.309976799999</v>
      </c>
      <c r="G85" s="176"/>
      <c r="H85" s="176"/>
      <c r="I85" s="187"/>
      <c r="J85" s="285"/>
      <c r="K85" s="282"/>
      <c r="L85" s="41"/>
      <c r="M85" s="41"/>
    </row>
    <row r="86" spans="1:13" ht="24">
      <c r="A86" s="177">
        <v>5.1100000000000003</v>
      </c>
      <c r="B86" s="55" t="s">
        <v>240</v>
      </c>
      <c r="C86" s="77" t="s">
        <v>21</v>
      </c>
      <c r="D86" s="283">
        <v>3</v>
      </c>
      <c r="E86" s="110">
        <v>3729.2233299999998</v>
      </c>
      <c r="F86" s="110">
        <f t="shared" ref="F86:F138" si="11">D86*E86</f>
        <v>11187.669989999999</v>
      </c>
      <c r="G86" s="176"/>
      <c r="H86" s="176"/>
      <c r="I86" s="187"/>
      <c r="J86" s="285"/>
      <c r="K86" s="282"/>
      <c r="L86" s="41"/>
      <c r="M86" s="41"/>
    </row>
    <row r="87" spans="1:13">
      <c r="A87" s="177">
        <v>5.12</v>
      </c>
      <c r="B87" s="55" t="s">
        <v>241</v>
      </c>
      <c r="C87" s="77" t="s">
        <v>21</v>
      </c>
      <c r="D87" s="283">
        <v>4</v>
      </c>
      <c r="E87" s="110">
        <v>5573.75</v>
      </c>
      <c r="F87" s="110">
        <f t="shared" si="11"/>
        <v>22295</v>
      </c>
      <c r="G87" s="176"/>
      <c r="H87" s="176"/>
      <c r="I87" s="187"/>
      <c r="J87" s="285"/>
      <c r="K87" s="282"/>
      <c r="L87" s="41"/>
      <c r="M87" s="41"/>
    </row>
    <row r="88" spans="1:13">
      <c r="A88" s="177">
        <v>5.13</v>
      </c>
      <c r="B88" s="55" t="s">
        <v>242</v>
      </c>
      <c r="C88" s="77" t="s">
        <v>21</v>
      </c>
      <c r="D88" s="283">
        <v>1</v>
      </c>
      <c r="E88" s="110">
        <v>2354.5300000000002</v>
      </c>
      <c r="F88" s="110">
        <f t="shared" si="11"/>
        <v>2354.5300000000002</v>
      </c>
      <c r="G88" s="176"/>
      <c r="H88" s="176"/>
      <c r="I88" s="187"/>
      <c r="J88" s="285"/>
      <c r="K88" s="282"/>
      <c r="L88" s="41"/>
      <c r="M88" s="41"/>
    </row>
    <row r="89" spans="1:13" ht="24">
      <c r="A89" s="177">
        <v>5.14</v>
      </c>
      <c r="B89" s="55" t="s">
        <v>243</v>
      </c>
      <c r="C89" s="77" t="s">
        <v>21</v>
      </c>
      <c r="D89" s="283">
        <v>1</v>
      </c>
      <c r="E89" s="110">
        <v>245000</v>
      </c>
      <c r="F89" s="110">
        <f t="shared" si="11"/>
        <v>245000</v>
      </c>
      <c r="G89" s="176"/>
      <c r="H89" s="176"/>
      <c r="I89" s="187"/>
      <c r="J89" s="285"/>
      <c r="K89" s="282"/>
      <c r="L89" s="41"/>
      <c r="M89" s="41"/>
    </row>
    <row r="90" spans="1:13" ht="24">
      <c r="A90" s="177">
        <v>5.15</v>
      </c>
      <c r="B90" s="55" t="s">
        <v>244</v>
      </c>
      <c r="C90" s="77" t="s">
        <v>21</v>
      </c>
      <c r="D90" s="283">
        <v>1</v>
      </c>
      <c r="E90" s="110">
        <v>17899.490000000002</v>
      </c>
      <c r="F90" s="110">
        <f t="shared" si="11"/>
        <v>17899.490000000002</v>
      </c>
      <c r="G90" s="176"/>
      <c r="H90" s="176"/>
      <c r="I90" s="187"/>
      <c r="J90" s="285"/>
      <c r="K90" s="282"/>
      <c r="L90" s="41"/>
      <c r="M90" s="41"/>
    </row>
    <row r="91" spans="1:13" ht="24">
      <c r="A91" s="177">
        <v>5.16</v>
      </c>
      <c r="B91" s="55" t="s">
        <v>245</v>
      </c>
      <c r="C91" s="77" t="s">
        <v>21</v>
      </c>
      <c r="D91" s="283">
        <v>1</v>
      </c>
      <c r="E91" s="110">
        <v>56666.58</v>
      </c>
      <c r="F91" s="110">
        <f t="shared" si="11"/>
        <v>56666.58</v>
      </c>
      <c r="G91" s="176"/>
      <c r="H91" s="176"/>
      <c r="I91" s="187"/>
      <c r="J91" s="285"/>
      <c r="K91" s="282"/>
      <c r="L91" s="41"/>
      <c r="M91" s="41"/>
    </row>
    <row r="92" spans="1:13" ht="24">
      <c r="A92" s="177">
        <v>5.17</v>
      </c>
      <c r="B92" s="55" t="s">
        <v>246</v>
      </c>
      <c r="C92" s="77" t="s">
        <v>21</v>
      </c>
      <c r="D92" s="283">
        <v>1</v>
      </c>
      <c r="E92" s="110">
        <v>4413.18</v>
      </c>
      <c r="F92" s="110">
        <f t="shared" si="11"/>
        <v>4413.18</v>
      </c>
      <c r="G92" s="176"/>
      <c r="H92" s="176"/>
      <c r="I92" s="187"/>
      <c r="J92" s="285"/>
      <c r="K92" s="282"/>
      <c r="L92" s="41"/>
      <c r="M92" s="41"/>
    </row>
    <row r="93" spans="1:13" ht="24">
      <c r="A93" s="177">
        <v>5.18</v>
      </c>
      <c r="B93" s="55" t="s">
        <v>247</v>
      </c>
      <c r="C93" s="77" t="s">
        <v>21</v>
      </c>
      <c r="D93" s="283">
        <v>2</v>
      </c>
      <c r="E93" s="110">
        <v>2829.2750000000001</v>
      </c>
      <c r="F93" s="110">
        <f t="shared" si="11"/>
        <v>5658.55</v>
      </c>
      <c r="G93" s="176"/>
      <c r="H93" s="176"/>
      <c r="I93" s="187"/>
      <c r="J93" s="285"/>
      <c r="K93" s="282"/>
      <c r="L93" s="41"/>
      <c r="M93" s="41"/>
    </row>
    <row r="94" spans="1:13" ht="24">
      <c r="A94" s="177">
        <v>5.19</v>
      </c>
      <c r="B94" s="55" t="s">
        <v>248</v>
      </c>
      <c r="C94" s="77" t="s">
        <v>21</v>
      </c>
      <c r="D94" s="283">
        <v>1</v>
      </c>
      <c r="E94" s="110">
        <v>8764.35</v>
      </c>
      <c r="F94" s="110">
        <f t="shared" si="11"/>
        <v>8764.35</v>
      </c>
      <c r="G94" s="176"/>
      <c r="H94" s="176"/>
      <c r="I94" s="187"/>
      <c r="J94" s="285"/>
      <c r="K94" s="282"/>
      <c r="L94" s="41"/>
      <c r="M94" s="41"/>
    </row>
    <row r="95" spans="1:13" ht="24">
      <c r="A95" s="177">
        <v>5.2</v>
      </c>
      <c r="B95" s="55" t="s">
        <v>249</v>
      </c>
      <c r="C95" s="77" t="s">
        <v>21</v>
      </c>
      <c r="D95" s="283">
        <v>1</v>
      </c>
      <c r="E95" s="110">
        <v>5374.8</v>
      </c>
      <c r="F95" s="110">
        <f t="shared" si="11"/>
        <v>5374.8</v>
      </c>
      <c r="G95" s="176"/>
      <c r="H95" s="176"/>
      <c r="I95" s="187"/>
      <c r="J95" s="285"/>
      <c r="K95" s="282"/>
      <c r="L95" s="41"/>
      <c r="M95" s="41"/>
    </row>
    <row r="96" spans="1:13">
      <c r="A96" s="177"/>
      <c r="B96" s="182" t="s">
        <v>39</v>
      </c>
      <c r="C96" s="81"/>
      <c r="D96" s="289"/>
      <c r="E96" s="185"/>
      <c r="F96" s="185">
        <f>SUM(F76:F95)</f>
        <v>884985.77998070011</v>
      </c>
      <c r="G96" s="176"/>
      <c r="H96" s="176"/>
      <c r="I96" s="187"/>
      <c r="J96" s="285"/>
      <c r="K96" s="282"/>
      <c r="L96" s="41"/>
      <c r="M96" s="41"/>
    </row>
    <row r="97" spans="1:14" ht="24">
      <c r="A97" s="180">
        <v>5.0999999999999996</v>
      </c>
      <c r="B97" s="182" t="s">
        <v>250</v>
      </c>
      <c r="C97" s="77"/>
      <c r="D97" s="283"/>
      <c r="E97" s="110"/>
      <c r="F97" s="110"/>
      <c r="G97" s="176"/>
      <c r="H97" s="176"/>
      <c r="I97" s="187"/>
      <c r="J97" s="285"/>
      <c r="K97" s="282"/>
      <c r="L97" s="41"/>
      <c r="M97" s="41"/>
    </row>
    <row r="98" spans="1:14" ht="24">
      <c r="A98" s="177">
        <v>5.1100000000000003</v>
      </c>
      <c r="B98" s="55" t="s">
        <v>206</v>
      </c>
      <c r="C98" s="77" t="s">
        <v>45</v>
      </c>
      <c r="D98" s="283">
        <v>56.84</v>
      </c>
      <c r="E98" s="110">
        <v>258.15675599999997</v>
      </c>
      <c r="F98" s="110">
        <f t="shared" si="11"/>
        <v>14673.630011039999</v>
      </c>
      <c r="G98" s="176"/>
      <c r="H98" s="176"/>
      <c r="I98" s="187"/>
      <c r="J98" s="285"/>
      <c r="K98" s="282"/>
      <c r="L98" s="41"/>
      <c r="M98" s="41"/>
    </row>
    <row r="99" spans="1:14" ht="24">
      <c r="A99" s="177">
        <v>5.12</v>
      </c>
      <c r="B99" s="55" t="s">
        <v>251</v>
      </c>
      <c r="C99" s="77" t="s">
        <v>45</v>
      </c>
      <c r="D99" s="283">
        <v>1.79</v>
      </c>
      <c r="E99" s="110">
        <v>1285.83</v>
      </c>
      <c r="F99" s="110">
        <f t="shared" si="11"/>
        <v>2301.6356999999998</v>
      </c>
      <c r="G99" s="176"/>
      <c r="H99" s="176"/>
      <c r="I99" s="187"/>
      <c r="J99" s="285"/>
      <c r="K99" s="282"/>
      <c r="L99" s="41"/>
      <c r="M99" s="41"/>
    </row>
    <row r="100" spans="1:14" ht="36">
      <c r="A100" s="177">
        <v>5.13</v>
      </c>
      <c r="B100" s="55" t="s">
        <v>207</v>
      </c>
      <c r="C100" s="77" t="s">
        <v>45</v>
      </c>
      <c r="D100" s="283">
        <v>49.11</v>
      </c>
      <c r="E100" s="110">
        <v>132.373244</v>
      </c>
      <c r="F100" s="110">
        <f t="shared" si="11"/>
        <v>6500.8500128400001</v>
      </c>
      <c r="G100" s="176"/>
      <c r="H100" s="176"/>
      <c r="I100" s="187"/>
      <c r="J100" s="285"/>
      <c r="K100" s="282"/>
      <c r="L100" s="41"/>
      <c r="M100" s="41"/>
    </row>
    <row r="101" spans="1:14" ht="48">
      <c r="A101" s="177">
        <v>5.14</v>
      </c>
      <c r="B101" s="55" t="s">
        <v>208</v>
      </c>
      <c r="C101" s="77" t="s">
        <v>45</v>
      </c>
      <c r="D101" s="283">
        <v>9.2799999999999994</v>
      </c>
      <c r="E101" s="110">
        <v>200.60668100000001</v>
      </c>
      <c r="F101" s="110">
        <f t="shared" si="11"/>
        <v>1861.6299996799999</v>
      </c>
      <c r="G101" s="176"/>
      <c r="H101" s="176"/>
      <c r="I101" s="187"/>
      <c r="J101" s="285"/>
      <c r="K101" s="282"/>
      <c r="L101" s="41"/>
      <c r="M101" s="41"/>
      <c r="N101" t="s">
        <v>11</v>
      </c>
    </row>
    <row r="102" spans="1:14">
      <c r="A102" s="177"/>
      <c r="B102" s="182" t="s">
        <v>39</v>
      </c>
      <c r="C102" s="81"/>
      <c r="D102" s="289"/>
      <c r="E102" s="185"/>
      <c r="F102" s="185">
        <f>SUM(F98:F101)</f>
        <v>25337.745723560001</v>
      </c>
      <c r="G102" s="176"/>
      <c r="H102" s="176"/>
      <c r="I102" s="187"/>
      <c r="J102" s="285"/>
      <c r="K102" s="282"/>
      <c r="L102" s="41"/>
      <c r="M102" s="41"/>
    </row>
    <row r="103" spans="1:14">
      <c r="A103" s="180" t="s">
        <v>252</v>
      </c>
      <c r="B103" s="182" t="s">
        <v>253</v>
      </c>
      <c r="C103" s="77"/>
      <c r="D103" s="283"/>
      <c r="E103" s="110"/>
      <c r="F103" s="110"/>
      <c r="G103" s="176"/>
      <c r="H103" s="176"/>
      <c r="I103" s="187"/>
      <c r="J103" s="285"/>
      <c r="K103" s="282"/>
      <c r="L103" s="41"/>
      <c r="M103" s="41"/>
    </row>
    <row r="104" spans="1:14">
      <c r="A104" s="177">
        <v>1</v>
      </c>
      <c r="B104" s="55" t="s">
        <v>150</v>
      </c>
      <c r="C104" s="77"/>
      <c r="D104" s="283"/>
      <c r="E104" s="110"/>
      <c r="F104" s="110"/>
      <c r="G104" s="176"/>
      <c r="H104" s="176"/>
      <c r="I104" s="187"/>
      <c r="J104" s="285"/>
      <c r="K104" s="282"/>
      <c r="L104" s="41"/>
      <c r="M104" s="41"/>
    </row>
    <row r="105" spans="1:14" ht="60">
      <c r="A105" s="177">
        <v>1.01</v>
      </c>
      <c r="B105" s="55" t="s">
        <v>254</v>
      </c>
      <c r="C105" s="77" t="s">
        <v>55</v>
      </c>
      <c r="D105" s="283">
        <v>1</v>
      </c>
      <c r="E105" s="110">
        <v>321812.17</v>
      </c>
      <c r="F105" s="110">
        <f t="shared" si="11"/>
        <v>321812.17</v>
      </c>
      <c r="G105" s="176"/>
      <c r="H105" s="176"/>
      <c r="I105" s="187"/>
      <c r="J105" s="285"/>
      <c r="K105" s="282"/>
      <c r="L105" s="41"/>
      <c r="M105" s="41"/>
    </row>
    <row r="106" spans="1:14">
      <c r="A106" s="177">
        <v>1.02</v>
      </c>
      <c r="B106" s="55" t="s">
        <v>152</v>
      </c>
      <c r="C106" s="77" t="s">
        <v>45</v>
      </c>
      <c r="D106" s="283">
        <v>26.4</v>
      </c>
      <c r="E106" s="110">
        <v>258.15681799999999</v>
      </c>
      <c r="F106" s="110">
        <f t="shared" si="11"/>
        <v>6815.3399951999991</v>
      </c>
      <c r="G106" s="176"/>
      <c r="H106" s="176"/>
      <c r="I106" s="187"/>
      <c r="J106" s="285"/>
      <c r="K106" s="282"/>
      <c r="L106" s="41"/>
      <c r="M106" s="41"/>
    </row>
    <row r="107" spans="1:14">
      <c r="A107" s="177">
        <v>1.03</v>
      </c>
      <c r="B107" s="55" t="s">
        <v>255</v>
      </c>
      <c r="C107" s="77" t="s">
        <v>45</v>
      </c>
      <c r="D107" s="283">
        <v>1.7</v>
      </c>
      <c r="E107" s="110">
        <f>2185.92/D107</f>
        <v>1285.8352941176472</v>
      </c>
      <c r="F107" s="110">
        <f t="shared" si="11"/>
        <v>2185.92</v>
      </c>
      <c r="G107" s="176"/>
      <c r="H107" s="176"/>
      <c r="I107" s="187"/>
      <c r="J107" s="285"/>
      <c r="K107" s="282"/>
      <c r="L107" s="41"/>
      <c r="M107" s="41"/>
    </row>
    <row r="108" spans="1:14">
      <c r="A108" s="177">
        <v>1.04</v>
      </c>
      <c r="B108" s="55" t="s">
        <v>126</v>
      </c>
      <c r="C108" s="77" t="s">
        <v>45</v>
      </c>
      <c r="D108" s="283">
        <v>2.21</v>
      </c>
      <c r="E108" s="110">
        <v>200.606335</v>
      </c>
      <c r="F108" s="110">
        <f t="shared" si="11"/>
        <v>443.34000034999997</v>
      </c>
      <c r="G108" s="176"/>
      <c r="H108" s="176"/>
      <c r="I108" s="187"/>
      <c r="J108" s="285"/>
      <c r="K108" s="282"/>
      <c r="L108" s="41"/>
      <c r="M108" s="41"/>
    </row>
    <row r="109" spans="1:14" ht="24">
      <c r="A109" s="177">
        <v>1.05</v>
      </c>
      <c r="B109" s="55" t="s">
        <v>48</v>
      </c>
      <c r="C109" s="77" t="s">
        <v>45</v>
      </c>
      <c r="D109" s="283">
        <v>23.47</v>
      </c>
      <c r="E109" s="110">
        <v>132.34512100000001</v>
      </c>
      <c r="F109" s="110">
        <f t="shared" si="11"/>
        <v>3106.1399898700001</v>
      </c>
      <c r="G109" s="176"/>
      <c r="H109" s="176"/>
      <c r="I109" s="187"/>
      <c r="J109" s="285"/>
      <c r="K109" s="282"/>
      <c r="L109" s="41"/>
      <c r="M109" s="41"/>
    </row>
    <row r="110" spans="1:14">
      <c r="A110" s="177"/>
      <c r="B110" s="182" t="s">
        <v>39</v>
      </c>
      <c r="C110" s="81"/>
      <c r="D110" s="289"/>
      <c r="E110" s="185"/>
      <c r="F110" s="185">
        <f>SUM(F105:F109)</f>
        <v>334362.90998542</v>
      </c>
      <c r="G110" s="176"/>
      <c r="H110" s="176"/>
      <c r="I110" s="187"/>
      <c r="J110" s="285"/>
      <c r="K110" s="282"/>
      <c r="L110" s="41"/>
      <c r="M110" s="41"/>
    </row>
    <row r="111" spans="1:14" ht="24">
      <c r="A111" s="180" t="s">
        <v>71</v>
      </c>
      <c r="B111" s="182" t="s">
        <v>256</v>
      </c>
      <c r="C111" s="77"/>
      <c r="D111" s="283"/>
      <c r="E111" s="110"/>
      <c r="F111" s="110"/>
      <c r="G111" s="176"/>
      <c r="H111" s="176"/>
      <c r="I111" s="187"/>
      <c r="J111" s="285"/>
      <c r="K111" s="282"/>
      <c r="L111" s="41"/>
      <c r="M111" s="41"/>
    </row>
    <row r="112" spans="1:14" ht="24">
      <c r="A112" s="85">
        <v>1</v>
      </c>
      <c r="B112" s="55" t="s">
        <v>134</v>
      </c>
      <c r="C112" s="297" t="s">
        <v>21</v>
      </c>
      <c r="D112" s="300">
        <v>16</v>
      </c>
      <c r="E112" s="299">
        <v>3343.41563</v>
      </c>
      <c r="F112" s="110">
        <f t="shared" si="11"/>
        <v>53494.650079999999</v>
      </c>
      <c r="G112" s="176"/>
      <c r="H112" s="176"/>
      <c r="I112" s="187"/>
      <c r="J112" s="285"/>
      <c r="K112" s="282"/>
      <c r="L112" s="41"/>
      <c r="M112" s="41"/>
    </row>
    <row r="113" spans="1:13" ht="24">
      <c r="A113" s="85">
        <v>2</v>
      </c>
      <c r="B113" s="55" t="s">
        <v>135</v>
      </c>
      <c r="C113" s="297" t="s">
        <v>21</v>
      </c>
      <c r="D113" s="283">
        <v>8</v>
      </c>
      <c r="E113" s="110">
        <v>4326.1075000000001</v>
      </c>
      <c r="F113" s="110">
        <f t="shared" si="11"/>
        <v>34608.86</v>
      </c>
      <c r="G113" s="176"/>
      <c r="H113" s="176"/>
      <c r="I113" s="187"/>
      <c r="J113" s="285"/>
      <c r="K113" s="282"/>
      <c r="L113" s="41"/>
      <c r="M113" s="41"/>
    </row>
    <row r="114" spans="1:13" ht="24">
      <c r="A114" s="177">
        <v>3</v>
      </c>
      <c r="B114" s="55" t="s">
        <v>136</v>
      </c>
      <c r="C114" s="297" t="s">
        <v>21</v>
      </c>
      <c r="D114" s="283">
        <v>20</v>
      </c>
      <c r="E114" s="110">
        <v>6435.8085000000001</v>
      </c>
      <c r="F114" s="110">
        <f t="shared" si="11"/>
        <v>128716.17</v>
      </c>
      <c r="G114" s="176"/>
      <c r="H114" s="176"/>
      <c r="I114" s="187"/>
      <c r="J114" s="285"/>
      <c r="K114" s="282"/>
      <c r="L114" s="41"/>
      <c r="M114" s="41"/>
    </row>
    <row r="115" spans="1:13" ht="24">
      <c r="A115" s="177">
        <v>4</v>
      </c>
      <c r="B115" s="55" t="s">
        <v>137</v>
      </c>
      <c r="C115" s="297" t="s">
        <v>21</v>
      </c>
      <c r="D115" s="283">
        <v>12</v>
      </c>
      <c r="E115" s="110">
        <v>9589.5891699999993</v>
      </c>
      <c r="F115" s="110">
        <f t="shared" si="11"/>
        <v>115075.07003999999</v>
      </c>
      <c r="G115" s="176"/>
      <c r="H115" s="176"/>
      <c r="I115" s="187"/>
      <c r="J115" s="285"/>
      <c r="K115" s="282"/>
      <c r="L115" s="41"/>
      <c r="M115" s="41"/>
    </row>
    <row r="116" spans="1:13" ht="36">
      <c r="A116" s="177">
        <v>5</v>
      </c>
      <c r="B116" s="55" t="s">
        <v>257</v>
      </c>
      <c r="C116" s="297" t="s">
        <v>21</v>
      </c>
      <c r="D116" s="283">
        <v>4</v>
      </c>
      <c r="E116" s="110">
        <v>57772.292500000003</v>
      </c>
      <c r="F116" s="110">
        <f t="shared" si="11"/>
        <v>231089.17</v>
      </c>
      <c r="G116" s="176"/>
      <c r="H116" s="176"/>
      <c r="I116" s="187"/>
      <c r="J116" s="285"/>
      <c r="K116" s="282"/>
      <c r="L116" s="41"/>
      <c r="M116" s="41"/>
    </row>
    <row r="117" spans="1:13" ht="36">
      <c r="A117" s="177">
        <v>6</v>
      </c>
      <c r="B117" s="55" t="s">
        <v>258</v>
      </c>
      <c r="C117" s="297" t="s">
        <v>21</v>
      </c>
      <c r="D117" s="283">
        <v>4</v>
      </c>
      <c r="E117" s="110">
        <v>31752.3675</v>
      </c>
      <c r="F117" s="110">
        <f t="shared" si="11"/>
        <v>127009.47</v>
      </c>
      <c r="G117" s="176"/>
      <c r="H117" s="176"/>
      <c r="I117" s="187"/>
      <c r="J117" s="285"/>
      <c r="K117" s="282"/>
      <c r="L117" s="41"/>
      <c r="M117" s="41"/>
    </row>
    <row r="118" spans="1:13" ht="72">
      <c r="A118" s="177">
        <v>7</v>
      </c>
      <c r="B118" s="55" t="s">
        <v>259</v>
      </c>
      <c r="C118" s="297" t="s">
        <v>21</v>
      </c>
      <c r="D118" s="283">
        <v>1</v>
      </c>
      <c r="E118" s="110">
        <v>389670.47</v>
      </c>
      <c r="F118" s="110">
        <f t="shared" si="11"/>
        <v>389670.47</v>
      </c>
      <c r="G118" s="176"/>
      <c r="H118" s="176"/>
      <c r="I118" s="187"/>
      <c r="J118" s="285"/>
      <c r="K118" s="282"/>
      <c r="L118" s="41"/>
      <c r="M118" s="41"/>
    </row>
    <row r="119" spans="1:13">
      <c r="A119" s="177">
        <v>8</v>
      </c>
      <c r="B119" s="55" t="s">
        <v>139</v>
      </c>
      <c r="C119" s="297" t="s">
        <v>21</v>
      </c>
      <c r="D119" s="283">
        <v>48</v>
      </c>
      <c r="E119" s="110">
        <v>1826.4456299999999</v>
      </c>
      <c r="F119" s="110">
        <f t="shared" si="11"/>
        <v>87669.390239999993</v>
      </c>
      <c r="G119" s="176"/>
      <c r="H119" s="176"/>
      <c r="I119" s="187"/>
      <c r="J119" s="285"/>
      <c r="K119" s="282"/>
      <c r="L119" s="41"/>
      <c r="M119" s="41"/>
    </row>
    <row r="120" spans="1:13">
      <c r="A120" s="177">
        <v>9</v>
      </c>
      <c r="B120" s="55" t="s">
        <v>140</v>
      </c>
      <c r="C120" s="297" t="s">
        <v>21</v>
      </c>
      <c r="D120" s="283">
        <v>64</v>
      </c>
      <c r="E120" s="110">
        <v>2756.0495299999998</v>
      </c>
      <c r="F120" s="110">
        <f t="shared" si="11"/>
        <v>176387.16991999999</v>
      </c>
      <c r="G120" s="176"/>
      <c r="H120" s="176"/>
      <c r="I120" s="187"/>
      <c r="J120" s="285"/>
      <c r="K120" s="282"/>
      <c r="L120" s="41"/>
      <c r="M120" s="41"/>
    </row>
    <row r="121" spans="1:13">
      <c r="A121" s="177"/>
      <c r="B121" s="182" t="s">
        <v>39</v>
      </c>
      <c r="C121" s="301"/>
      <c r="D121" s="289"/>
      <c r="E121" s="185"/>
      <c r="F121" s="185">
        <f>SUM(F112:F120)</f>
        <v>1343720.42028</v>
      </c>
      <c r="G121" s="176"/>
      <c r="H121" s="176"/>
      <c r="I121" s="187"/>
      <c r="J121" s="285"/>
      <c r="K121" s="282"/>
      <c r="L121" s="41"/>
      <c r="M121" s="41"/>
    </row>
    <row r="122" spans="1:13">
      <c r="A122" s="180" t="s">
        <v>148</v>
      </c>
      <c r="B122" s="182" t="s">
        <v>58</v>
      </c>
      <c r="C122" s="297"/>
      <c r="D122" s="283"/>
      <c r="E122" s="110"/>
      <c r="F122" s="110"/>
      <c r="G122" s="176"/>
      <c r="H122" s="176"/>
      <c r="I122" s="187"/>
      <c r="J122" s="285"/>
      <c r="K122" s="282"/>
      <c r="L122" s="41"/>
      <c r="M122" s="41"/>
    </row>
    <row r="123" spans="1:13" ht="72">
      <c r="A123" s="85">
        <v>1</v>
      </c>
      <c r="B123" s="55" t="s">
        <v>260</v>
      </c>
      <c r="C123" s="297" t="s">
        <v>21</v>
      </c>
      <c r="D123" s="283">
        <v>1</v>
      </c>
      <c r="E123" s="110">
        <v>491973.76</v>
      </c>
      <c r="F123" s="110">
        <f t="shared" si="11"/>
        <v>491973.76</v>
      </c>
      <c r="G123" s="176"/>
      <c r="H123" s="176"/>
      <c r="I123" s="187"/>
      <c r="J123" s="285"/>
      <c r="K123" s="282"/>
      <c r="L123" s="41"/>
      <c r="M123" s="41"/>
    </row>
    <row r="124" spans="1:13" ht="48">
      <c r="A124" s="177">
        <v>2</v>
      </c>
      <c r="B124" s="55" t="s">
        <v>261</v>
      </c>
      <c r="C124" s="297" t="s">
        <v>21</v>
      </c>
      <c r="D124" s="283">
        <v>1</v>
      </c>
      <c r="E124" s="110">
        <v>45733.62</v>
      </c>
      <c r="F124" s="110">
        <f t="shared" si="11"/>
        <v>45733.62</v>
      </c>
      <c r="G124" s="176"/>
      <c r="H124" s="176"/>
      <c r="I124" s="187"/>
      <c r="J124" s="285"/>
      <c r="K124" s="282"/>
      <c r="L124" s="41"/>
      <c r="M124" s="41"/>
    </row>
    <row r="125" spans="1:13" ht="60">
      <c r="A125" s="177">
        <v>3</v>
      </c>
      <c r="B125" s="55" t="s">
        <v>262</v>
      </c>
      <c r="C125" s="297" t="s">
        <v>21</v>
      </c>
      <c r="D125" s="283">
        <v>1</v>
      </c>
      <c r="E125" s="110">
        <v>41924.949999999997</v>
      </c>
      <c r="F125" s="110">
        <f t="shared" si="11"/>
        <v>41924.949999999997</v>
      </c>
      <c r="G125" s="176"/>
      <c r="H125" s="176"/>
      <c r="I125" s="187"/>
      <c r="J125" s="285"/>
      <c r="K125" s="282"/>
      <c r="L125" s="41"/>
      <c r="M125" s="41"/>
    </row>
    <row r="126" spans="1:13" ht="36">
      <c r="A126" s="177">
        <v>4</v>
      </c>
      <c r="B126" s="55" t="s">
        <v>263</v>
      </c>
      <c r="C126" s="297" t="s">
        <v>21</v>
      </c>
      <c r="D126" s="283">
        <v>1</v>
      </c>
      <c r="E126" s="110">
        <v>15710.07</v>
      </c>
      <c r="F126" s="110">
        <f t="shared" si="11"/>
        <v>15710.07</v>
      </c>
      <c r="G126" s="176"/>
      <c r="H126" s="176"/>
      <c r="I126" s="187"/>
      <c r="J126" s="285"/>
      <c r="K126" s="282"/>
      <c r="L126" s="41"/>
      <c r="M126" s="41"/>
    </row>
    <row r="127" spans="1:13" ht="48">
      <c r="A127" s="85">
        <v>5</v>
      </c>
      <c r="B127" s="55" t="s">
        <v>264</v>
      </c>
      <c r="C127" s="297" t="s">
        <v>21</v>
      </c>
      <c r="D127" s="300">
        <v>1</v>
      </c>
      <c r="E127" s="299">
        <v>7767.63</v>
      </c>
      <c r="F127" s="110">
        <f t="shared" si="11"/>
        <v>7767.63</v>
      </c>
      <c r="G127" s="176"/>
      <c r="H127" s="176"/>
      <c r="I127" s="187"/>
      <c r="J127" s="285"/>
      <c r="K127" s="282"/>
      <c r="L127" s="41"/>
      <c r="M127" s="41"/>
    </row>
    <row r="128" spans="1:13" ht="24">
      <c r="A128" s="85">
        <v>6</v>
      </c>
      <c r="B128" s="55" t="s">
        <v>64</v>
      </c>
      <c r="C128" s="297" t="s">
        <v>21</v>
      </c>
      <c r="D128" s="283">
        <v>1</v>
      </c>
      <c r="E128" s="110">
        <v>2005.2</v>
      </c>
      <c r="F128" s="110">
        <f t="shared" si="11"/>
        <v>2005.2</v>
      </c>
      <c r="G128" s="176"/>
      <c r="H128" s="176"/>
      <c r="I128" s="187"/>
      <c r="J128" s="285"/>
      <c r="K128" s="282"/>
      <c r="L128" s="41"/>
      <c r="M128" s="41"/>
    </row>
    <row r="129" spans="1:13" ht="36">
      <c r="A129" s="177">
        <v>7</v>
      </c>
      <c r="B129" s="55" t="s">
        <v>265</v>
      </c>
      <c r="C129" s="77" t="s">
        <v>38</v>
      </c>
      <c r="D129" s="283">
        <v>16</v>
      </c>
      <c r="E129" s="110">
        <v>3780</v>
      </c>
      <c r="F129" s="110">
        <f t="shared" si="11"/>
        <v>60480</v>
      </c>
      <c r="G129" s="176"/>
      <c r="H129" s="176"/>
      <c r="I129" s="187"/>
      <c r="J129" s="285"/>
      <c r="K129" s="282"/>
      <c r="L129" s="41"/>
      <c r="M129" s="41"/>
    </row>
    <row r="130" spans="1:13">
      <c r="A130" s="177"/>
      <c r="B130" s="182" t="s">
        <v>39</v>
      </c>
      <c r="C130" s="81"/>
      <c r="D130" s="289"/>
      <c r="E130" s="185"/>
      <c r="F130" s="185">
        <f>SUM(F123:F129)</f>
        <v>665595.22999999986</v>
      </c>
      <c r="G130" s="176"/>
      <c r="H130" s="176"/>
      <c r="I130" s="187"/>
      <c r="J130" s="285"/>
      <c r="K130" s="282"/>
      <c r="L130" s="41"/>
      <c r="M130" s="41"/>
    </row>
    <row r="131" spans="1:13">
      <c r="A131" s="177" t="s">
        <v>154</v>
      </c>
      <c r="B131" s="182" t="s">
        <v>68</v>
      </c>
      <c r="C131" s="77"/>
      <c r="D131" s="283"/>
      <c r="E131" s="110"/>
      <c r="F131" s="110"/>
      <c r="G131" s="176"/>
      <c r="H131" s="176"/>
      <c r="I131" s="187"/>
      <c r="J131" s="285"/>
      <c r="K131" s="282"/>
      <c r="L131" s="41"/>
      <c r="M131" s="41"/>
    </row>
    <row r="132" spans="1:13" ht="72">
      <c r="A132" s="180">
        <v>1</v>
      </c>
      <c r="B132" s="55" t="s">
        <v>260</v>
      </c>
      <c r="C132" s="297" t="s">
        <v>21</v>
      </c>
      <c r="D132" s="300">
        <v>1</v>
      </c>
      <c r="E132" s="299">
        <v>491973.76</v>
      </c>
      <c r="F132" s="299">
        <f t="shared" si="11"/>
        <v>491973.76</v>
      </c>
      <c r="G132" s="889"/>
      <c r="H132" s="889"/>
      <c r="I132" s="304"/>
      <c r="J132" s="305"/>
      <c r="K132" s="282"/>
      <c r="L132" s="41"/>
      <c r="M132" s="41"/>
    </row>
    <row r="133" spans="1:13" ht="48">
      <c r="A133" s="177">
        <v>2</v>
      </c>
      <c r="B133" s="55" t="s">
        <v>261</v>
      </c>
      <c r="C133" s="297" t="s">
        <v>21</v>
      </c>
      <c r="D133" s="300">
        <v>1</v>
      </c>
      <c r="E133" s="299">
        <v>45733.62</v>
      </c>
      <c r="F133" s="299">
        <f t="shared" si="11"/>
        <v>45733.62</v>
      </c>
      <c r="G133" s="176"/>
      <c r="H133" s="176"/>
      <c r="I133" s="187"/>
      <c r="J133" s="285"/>
      <c r="K133" s="282"/>
      <c r="L133" s="41"/>
      <c r="M133" s="41"/>
    </row>
    <row r="134" spans="1:13" ht="60">
      <c r="A134" s="177">
        <v>3</v>
      </c>
      <c r="B134" s="55" t="s">
        <v>262</v>
      </c>
      <c r="C134" s="297" t="s">
        <v>21</v>
      </c>
      <c r="D134" s="300">
        <v>1</v>
      </c>
      <c r="E134" s="299">
        <v>41924.949999999997</v>
      </c>
      <c r="F134" s="299">
        <f t="shared" si="11"/>
        <v>41924.949999999997</v>
      </c>
      <c r="G134" s="176"/>
      <c r="H134" s="176"/>
      <c r="I134" s="187"/>
      <c r="J134" s="285"/>
      <c r="K134" s="282"/>
      <c r="L134" s="41"/>
      <c r="M134" s="41"/>
    </row>
    <row r="135" spans="1:13" ht="36">
      <c r="A135" s="177">
        <v>4</v>
      </c>
      <c r="B135" s="55" t="s">
        <v>266</v>
      </c>
      <c r="C135" s="297" t="s">
        <v>21</v>
      </c>
      <c r="D135" s="300">
        <v>1</v>
      </c>
      <c r="E135" s="299">
        <v>15710.07</v>
      </c>
      <c r="F135" s="299">
        <f t="shared" si="11"/>
        <v>15710.07</v>
      </c>
      <c r="G135" s="176"/>
      <c r="H135" s="176"/>
      <c r="I135" s="187"/>
      <c r="J135" s="285"/>
      <c r="K135" s="282"/>
      <c r="L135" s="41"/>
      <c r="M135" s="41"/>
    </row>
    <row r="136" spans="1:13" ht="48">
      <c r="A136" s="180">
        <v>5</v>
      </c>
      <c r="B136" s="55" t="s">
        <v>264</v>
      </c>
      <c r="C136" s="297" t="s">
        <v>21</v>
      </c>
      <c r="D136" s="300">
        <v>1</v>
      </c>
      <c r="E136" s="299">
        <v>7767.63</v>
      </c>
      <c r="F136" s="299">
        <f t="shared" si="11"/>
        <v>7767.63</v>
      </c>
      <c r="G136" s="176"/>
      <c r="H136" s="176"/>
      <c r="I136" s="187"/>
      <c r="J136" s="285"/>
      <c r="K136" s="282"/>
      <c r="L136" s="41"/>
      <c r="M136" s="41"/>
    </row>
    <row r="137" spans="1:13" ht="24">
      <c r="A137" s="177">
        <v>6</v>
      </c>
      <c r="B137" s="55" t="s">
        <v>64</v>
      </c>
      <c r="C137" s="77" t="s">
        <v>21</v>
      </c>
      <c r="D137" s="283">
        <v>1</v>
      </c>
      <c r="E137" s="110">
        <v>2005.2</v>
      </c>
      <c r="F137" s="110">
        <f t="shared" si="11"/>
        <v>2005.2</v>
      </c>
      <c r="G137" s="176"/>
      <c r="H137" s="176"/>
      <c r="I137" s="187"/>
      <c r="J137" s="285"/>
      <c r="K137" s="282"/>
      <c r="L137" s="41"/>
      <c r="M137" s="41"/>
    </row>
    <row r="138" spans="1:13" ht="36">
      <c r="A138" s="177">
        <v>7</v>
      </c>
      <c r="B138" s="55" t="s">
        <v>265</v>
      </c>
      <c r="C138" s="77" t="s">
        <v>38</v>
      </c>
      <c r="D138" s="283">
        <v>16</v>
      </c>
      <c r="E138" s="110">
        <v>3780</v>
      </c>
      <c r="F138" s="110">
        <f t="shared" si="11"/>
        <v>60480</v>
      </c>
      <c r="G138" s="176"/>
      <c r="H138" s="176"/>
      <c r="I138" s="187"/>
      <c r="J138" s="285"/>
      <c r="K138" s="282"/>
      <c r="L138" s="41"/>
      <c r="M138" s="41"/>
    </row>
    <row r="139" spans="1:13">
      <c r="A139" s="177"/>
      <c r="B139" s="182" t="s">
        <v>39</v>
      </c>
      <c r="C139" s="81"/>
      <c r="D139" s="289"/>
      <c r="E139" s="185"/>
      <c r="F139" s="185">
        <f>SUM(F132:F138)</f>
        <v>665595.22999999986</v>
      </c>
      <c r="G139" s="176"/>
      <c r="H139" s="176"/>
      <c r="I139" s="187"/>
      <c r="J139" s="285"/>
      <c r="K139" s="282"/>
      <c r="L139" s="41"/>
      <c r="M139" s="41"/>
    </row>
    <row r="140" spans="1:13">
      <c r="A140" s="177" t="s">
        <v>267</v>
      </c>
      <c r="B140" s="55" t="s">
        <v>156</v>
      </c>
      <c r="C140" s="77"/>
      <c r="D140" s="283"/>
      <c r="E140" s="110"/>
      <c r="F140" s="110"/>
      <c r="G140" s="176"/>
      <c r="H140" s="176"/>
      <c r="I140" s="187"/>
      <c r="J140" s="285"/>
      <c r="K140" s="282"/>
      <c r="L140" s="41"/>
      <c r="M140" s="41"/>
    </row>
    <row r="141" spans="1:13">
      <c r="A141" s="177">
        <v>1</v>
      </c>
      <c r="B141" s="55" t="s">
        <v>156</v>
      </c>
      <c r="C141" s="77" t="s">
        <v>55</v>
      </c>
      <c r="D141" s="283">
        <v>1</v>
      </c>
      <c r="E141" s="110">
        <v>1200000</v>
      </c>
      <c r="F141" s="110">
        <f>D141*E141</f>
        <v>1200000</v>
      </c>
      <c r="G141" s="176"/>
      <c r="H141" s="176"/>
      <c r="I141" s="187"/>
      <c r="J141" s="285"/>
      <c r="K141" s="282"/>
      <c r="L141" s="41"/>
      <c r="M141" s="41"/>
    </row>
    <row r="142" spans="1:13">
      <c r="A142" s="85"/>
      <c r="B142" s="182" t="s">
        <v>39</v>
      </c>
      <c r="C142" s="81"/>
      <c r="D142" s="289"/>
      <c r="E142" s="185"/>
      <c r="F142" s="185">
        <f>F141</f>
        <v>1200000</v>
      </c>
      <c r="G142" s="176"/>
      <c r="H142" s="176"/>
      <c r="I142" s="187"/>
      <c r="J142" s="285"/>
      <c r="K142" s="282"/>
      <c r="L142" s="41"/>
      <c r="M142" s="41"/>
    </row>
    <row r="143" spans="1:13">
      <c r="A143" s="306"/>
      <c r="B143" s="206" t="s">
        <v>82</v>
      </c>
      <c r="C143" s="307"/>
      <c r="D143" s="308"/>
      <c r="E143" s="309"/>
      <c r="F143" s="890">
        <f>F142+F139+F130+F121+F110+F102+F96+F74+F66+F54+F49+F44+F41+F35+F29+F25+F19-0.019</f>
        <v>24223599.790570319</v>
      </c>
      <c r="G143" s="311"/>
      <c r="H143" s="312"/>
      <c r="I143" s="313"/>
      <c r="J143" s="314"/>
      <c r="K143" s="891">
        <f>K41+K35+K25+K19+K15</f>
        <v>6776734.6788530098</v>
      </c>
      <c r="L143" s="891">
        <f>L41+L35+L32</f>
        <v>705559.57953138941</v>
      </c>
      <c r="M143" s="892">
        <f>K143+L143</f>
        <v>7482294.2583843991</v>
      </c>
    </row>
    <row r="144" spans="1:13">
      <c r="A144" s="317"/>
      <c r="B144" s="318"/>
      <c r="C144" s="205"/>
      <c r="D144" s="319"/>
      <c r="E144" s="320"/>
      <c r="F144" s="320"/>
      <c r="G144" s="205"/>
      <c r="H144" s="205"/>
      <c r="I144" s="205"/>
      <c r="J144" s="205"/>
      <c r="K144" s="321"/>
      <c r="L144" s="321"/>
      <c r="M144" s="321"/>
    </row>
    <row r="145" spans="1:14">
      <c r="A145" s="317"/>
      <c r="B145" s="1213" t="s">
        <v>535</v>
      </c>
      <c r="C145" s="1213"/>
      <c r="D145" s="1213"/>
      <c r="E145" s="1213"/>
      <c r="F145" s="1213"/>
      <c r="G145" s="1213"/>
      <c r="H145" s="1213"/>
      <c r="I145" s="1213"/>
      <c r="J145" s="1213"/>
      <c r="K145" s="1213"/>
      <c r="L145" s="1213"/>
      <c r="M145" s="1213"/>
      <c r="N145" s="1213"/>
    </row>
    <row r="146" spans="1:14">
      <c r="A146" s="893" t="s">
        <v>19</v>
      </c>
      <c r="B146" s="894" t="s">
        <v>20</v>
      </c>
      <c r="C146" s="894" t="s">
        <v>21</v>
      </c>
      <c r="D146" s="894" t="s">
        <v>90</v>
      </c>
      <c r="E146" s="895" t="s">
        <v>23</v>
      </c>
      <c r="F146" s="895" t="s">
        <v>24</v>
      </c>
      <c r="G146" s="896" t="s">
        <v>25</v>
      </c>
      <c r="H146" s="896" t="s">
        <v>26</v>
      </c>
      <c r="I146" s="897" t="s">
        <v>27</v>
      </c>
      <c r="J146" s="898" t="s">
        <v>28</v>
      </c>
      <c r="K146" s="899" t="s">
        <v>25</v>
      </c>
      <c r="L146" s="900" t="s">
        <v>26</v>
      </c>
      <c r="M146" s="900" t="s">
        <v>27</v>
      </c>
    </row>
    <row r="147" spans="1:14">
      <c r="A147" s="81">
        <v>1</v>
      </c>
      <c r="B147" s="42" t="s">
        <v>169</v>
      </c>
      <c r="C147" s="77"/>
      <c r="D147" s="283"/>
      <c r="E147" s="110"/>
      <c r="F147" s="110"/>
      <c r="G147" s="176"/>
      <c r="H147" s="176"/>
      <c r="I147" s="187"/>
      <c r="J147" s="293"/>
      <c r="K147" s="282"/>
      <c r="L147" s="41"/>
      <c r="M147" s="41"/>
    </row>
    <row r="148" spans="1:14" ht="24.75">
      <c r="A148" s="81">
        <v>1.02</v>
      </c>
      <c r="B148" s="33" t="s">
        <v>125</v>
      </c>
      <c r="C148" s="77" t="s">
        <v>38</v>
      </c>
      <c r="D148" s="283">
        <v>556</v>
      </c>
      <c r="E148" s="110">
        <v>5766.77</v>
      </c>
      <c r="F148" s="110">
        <f t="shared" ref="F148:F149" si="12">D148*E148</f>
        <v>3206324.12</v>
      </c>
      <c r="G148" s="176"/>
      <c r="H148" s="176">
        <v>556</v>
      </c>
      <c r="I148" s="187">
        <f t="shared" ref="I148:I149" si="13">SUM(G148+H148)</f>
        <v>556</v>
      </c>
      <c r="J148" s="285">
        <f t="shared" ref="J148:J149" si="14">I148/D148</f>
        <v>1</v>
      </c>
      <c r="K148" s="41"/>
      <c r="L148" s="41">
        <f>H148*E148</f>
        <v>3206324.12</v>
      </c>
      <c r="M148" s="41">
        <f>K148+L148</f>
        <v>3206324.12</v>
      </c>
    </row>
    <row r="149" spans="1:14">
      <c r="A149" s="81">
        <v>1.03</v>
      </c>
      <c r="B149" s="24" t="s">
        <v>197</v>
      </c>
      <c r="C149" s="77" t="s">
        <v>45</v>
      </c>
      <c r="D149" s="283">
        <v>33.54</v>
      </c>
      <c r="E149" s="110">
        <f>86070.4/D149</f>
        <v>2566.2015503875969</v>
      </c>
      <c r="F149" s="110">
        <f t="shared" si="12"/>
        <v>86070.399999999994</v>
      </c>
      <c r="G149" s="176"/>
      <c r="H149" s="176">
        <f>D149-G149</f>
        <v>33.54</v>
      </c>
      <c r="I149" s="187">
        <f t="shared" si="13"/>
        <v>33.54</v>
      </c>
      <c r="J149" s="285">
        <f t="shared" si="14"/>
        <v>1</v>
      </c>
      <c r="K149" s="41"/>
      <c r="L149" s="41">
        <f>H149*E149</f>
        <v>86070.399999999994</v>
      </c>
      <c r="M149" s="41">
        <f>K149+L149</f>
        <v>86070.399999999994</v>
      </c>
    </row>
    <row r="150" spans="1:14">
      <c r="A150" s="81"/>
      <c r="B150" s="182" t="s">
        <v>39</v>
      </c>
      <c r="C150" s="182"/>
      <c r="D150" s="182"/>
      <c r="E150" s="182"/>
      <c r="F150" s="901">
        <f>F148+F149</f>
        <v>3292394.52</v>
      </c>
      <c r="G150" s="176"/>
      <c r="H150" s="176"/>
      <c r="I150" s="176"/>
      <c r="J150" s="176"/>
      <c r="K150" s="41"/>
      <c r="L150" s="902"/>
      <c r="M150" s="63"/>
    </row>
    <row r="151" spans="1:14">
      <c r="A151" s="903"/>
      <c r="B151" s="904" t="s">
        <v>82</v>
      </c>
      <c r="C151" s="905"/>
      <c r="D151" s="905"/>
      <c r="E151" s="905"/>
      <c r="F151" s="906">
        <f>F143</f>
        <v>24223599.790570319</v>
      </c>
      <c r="H151" s="205"/>
      <c r="I151" s="205"/>
      <c r="J151" s="205"/>
      <c r="K151" s="907">
        <f>K143</f>
        <v>6776734.6788530098</v>
      </c>
      <c r="L151" s="907">
        <f>L143</f>
        <v>705559.57953138941</v>
      </c>
      <c r="M151" s="890">
        <f>K151+L151</f>
        <v>7482294.2583843991</v>
      </c>
    </row>
    <row r="152" spans="1:14">
      <c r="A152" s="903"/>
      <c r="B152" s="904" t="s">
        <v>81</v>
      </c>
      <c r="C152" s="905"/>
      <c r="D152" s="905"/>
      <c r="E152" s="905"/>
      <c r="F152" s="208">
        <f>F150</f>
        <v>3292394.52</v>
      </c>
      <c r="H152" s="205"/>
      <c r="I152" s="205"/>
      <c r="J152" s="205"/>
      <c r="K152" s="907"/>
      <c r="L152" s="907">
        <f>L148+L149</f>
        <v>3292394.52</v>
      </c>
      <c r="M152" s="890">
        <f>K152+L152</f>
        <v>3292394.52</v>
      </c>
    </row>
    <row r="153" spans="1:14">
      <c r="A153" s="903"/>
      <c r="B153" s="126" t="s">
        <v>83</v>
      </c>
      <c r="C153" s="7"/>
      <c r="D153" s="7"/>
      <c r="F153" s="908">
        <f>F34++F18+F16</f>
        <v>7210326.8329999996</v>
      </c>
      <c r="H153" s="205"/>
      <c r="I153" s="205"/>
      <c r="J153" s="205"/>
      <c r="K153" s="907"/>
      <c r="L153" s="907"/>
      <c r="M153" s="907"/>
    </row>
    <row r="154" spans="1:14">
      <c r="A154" s="903"/>
      <c r="B154" s="10" t="s">
        <v>84</v>
      </c>
      <c r="C154" s="7"/>
      <c r="D154" s="7"/>
      <c r="E154" s="324"/>
      <c r="F154" s="854">
        <f>F151-F153</f>
        <v>17013272.957570318</v>
      </c>
      <c r="H154" s="205"/>
      <c r="I154" s="205"/>
      <c r="J154" s="205"/>
      <c r="K154" s="907"/>
      <c r="L154" s="907"/>
      <c r="M154" s="907"/>
    </row>
    <row r="155" spans="1:14">
      <c r="A155" s="903"/>
      <c r="B155" s="904" t="s">
        <v>85</v>
      </c>
      <c r="C155" s="905"/>
      <c r="D155" s="905"/>
      <c r="E155" s="905"/>
      <c r="F155" s="854">
        <f>F154</f>
        <v>17013272.957570318</v>
      </c>
      <c r="H155" s="205"/>
      <c r="I155" s="205"/>
      <c r="J155" s="205"/>
      <c r="K155" s="907"/>
      <c r="L155" s="907">
        <f>L152+L151</f>
        <v>3997954.0995313893</v>
      </c>
      <c r="M155" s="890">
        <f>K155+L155</f>
        <v>3997954.0995313893</v>
      </c>
    </row>
    <row r="156" spans="1:14">
      <c r="A156" s="903"/>
      <c r="B156" s="98"/>
      <c r="C156" s="909" t="s">
        <v>536</v>
      </c>
      <c r="H156" s="205"/>
      <c r="I156" s="205"/>
      <c r="J156" s="205"/>
      <c r="K156" s="321"/>
      <c r="L156" s="321"/>
      <c r="M156" s="321"/>
    </row>
    <row r="157" spans="1:14" ht="24" customHeight="1">
      <c r="A157" s="903"/>
      <c r="B157" s="1214" t="s">
        <v>537</v>
      </c>
      <c r="C157" s="1214"/>
      <c r="D157" s="1214"/>
      <c r="E157" s="1214"/>
      <c r="F157" s="1214"/>
      <c r="G157" s="205"/>
      <c r="H157" s="205"/>
      <c r="I157" s="205"/>
      <c r="J157" s="205"/>
      <c r="K157" s="321"/>
      <c r="L157" s="321"/>
      <c r="M157" s="321"/>
    </row>
    <row r="158" spans="1:14">
      <c r="A158" s="903"/>
      <c r="B158" s="318"/>
      <c r="C158" s="205"/>
      <c r="D158" s="319"/>
      <c r="E158" s="320"/>
      <c r="F158" s="320"/>
      <c r="G158" s="205"/>
      <c r="H158" s="205"/>
      <c r="I158" s="205"/>
      <c r="J158" s="205"/>
      <c r="K158" s="321"/>
      <c r="L158" s="321"/>
      <c r="M158" s="321"/>
    </row>
    <row r="159" spans="1:14">
      <c r="A159" s="317"/>
      <c r="B159" s="318"/>
      <c r="C159" s="205"/>
      <c r="D159" s="319"/>
      <c r="E159" s="320"/>
      <c r="F159" s="320"/>
      <c r="G159" s="205"/>
      <c r="H159" s="205"/>
      <c r="I159" s="205"/>
      <c r="J159" s="205"/>
      <c r="K159" s="321"/>
      <c r="L159" s="321"/>
      <c r="M159" s="321"/>
    </row>
    <row r="160" spans="1:14" ht="15.75" thickBot="1">
      <c r="A160" s="324"/>
      <c r="B160" s="318"/>
      <c r="C160" s="205"/>
      <c r="D160" s="319"/>
      <c r="E160" s="320"/>
      <c r="F160" s="320"/>
      <c r="G160" s="205"/>
      <c r="H160" s="205"/>
      <c r="I160" s="205"/>
      <c r="J160" s="205"/>
      <c r="K160" s="321"/>
      <c r="L160" s="321"/>
      <c r="M160" s="321"/>
    </row>
    <row r="161" spans="1:13">
      <c r="A161" s="324"/>
      <c r="B161" s="327"/>
      <c r="C161" s="328"/>
      <c r="D161" s="329"/>
      <c r="E161" s="1104" t="s">
        <v>0</v>
      </c>
      <c r="F161" s="1104"/>
      <c r="G161" s="1104"/>
      <c r="H161" s="1104"/>
      <c r="I161" s="1104"/>
      <c r="J161" s="1104"/>
      <c r="K161" s="1104"/>
      <c r="L161" s="328"/>
      <c r="M161" s="330"/>
    </row>
    <row r="162" spans="1:13">
      <c r="A162" s="324"/>
      <c r="B162" s="331"/>
      <c r="C162" s="332"/>
      <c r="D162" s="333"/>
      <c r="E162" s="334"/>
      <c r="F162" s="1106" t="s">
        <v>1</v>
      </c>
      <c r="G162" s="1106"/>
      <c r="H162" s="1106"/>
      <c r="I162" s="332"/>
      <c r="J162" s="332"/>
      <c r="K162" s="332"/>
      <c r="L162" s="332"/>
      <c r="M162" s="335"/>
    </row>
    <row r="163" spans="1:13">
      <c r="A163" s="324"/>
      <c r="B163" s="336"/>
      <c r="C163" s="332"/>
      <c r="D163" s="333"/>
      <c r="E163" s="334"/>
      <c r="F163" s="326"/>
      <c r="G163" s="332"/>
      <c r="H163" s="332"/>
      <c r="I163" s="332"/>
      <c r="J163" s="332"/>
      <c r="K163" s="332"/>
      <c r="L163" s="332"/>
      <c r="M163" s="337" t="s">
        <v>268</v>
      </c>
    </row>
    <row r="164" spans="1:13">
      <c r="A164" s="324"/>
      <c r="B164" s="338"/>
      <c r="C164" s="339" t="s">
        <v>3</v>
      </c>
      <c r="D164" s="1107" t="s">
        <v>269</v>
      </c>
      <c r="E164" s="1107"/>
      <c r="F164" s="1107"/>
      <c r="G164" s="318"/>
      <c r="H164" s="340"/>
      <c r="I164" s="205"/>
      <c r="J164" s="205"/>
      <c r="K164" s="205"/>
      <c r="L164" s="127" t="s">
        <v>5</v>
      </c>
      <c r="M164" s="341" t="s">
        <v>186</v>
      </c>
    </row>
    <row r="165" spans="1:13" ht="24.75">
      <c r="A165" s="324"/>
      <c r="B165" s="338"/>
      <c r="C165" s="342" t="s">
        <v>7</v>
      </c>
      <c r="D165" s="6">
        <v>2</v>
      </c>
      <c r="E165" s="320"/>
      <c r="F165" s="321"/>
      <c r="G165" s="318"/>
      <c r="H165" s="318"/>
      <c r="I165" s="205"/>
      <c r="J165" s="205"/>
      <c r="K165" s="205"/>
      <c r="L165" s="342" t="s">
        <v>8</v>
      </c>
      <c r="M165" s="910" t="s">
        <v>187</v>
      </c>
    </row>
    <row r="166" spans="1:13">
      <c r="A166" s="324"/>
      <c r="B166" s="1108" t="s">
        <v>9</v>
      </c>
      <c r="C166" s="1109"/>
      <c r="D166" s="1107" t="s">
        <v>534</v>
      </c>
      <c r="E166" s="1107"/>
      <c r="F166" s="321"/>
      <c r="G166" s="318"/>
      <c r="H166" s="343"/>
      <c r="I166" s="205"/>
      <c r="J166" s="205"/>
      <c r="K166" s="205"/>
      <c r="L166" s="342" t="s">
        <v>12</v>
      </c>
      <c r="M166" s="344" t="s">
        <v>189</v>
      </c>
    </row>
    <row r="167" spans="1:13">
      <c r="A167" s="324"/>
      <c r="B167" s="338"/>
      <c r="C167" s="342" t="s">
        <v>14</v>
      </c>
      <c r="D167" s="1081" t="s">
        <v>190</v>
      </c>
      <c r="E167" s="1081"/>
      <c r="F167" s="321"/>
      <c r="G167" s="318"/>
      <c r="H167" s="318"/>
      <c r="I167" s="205"/>
      <c r="J167" s="205"/>
      <c r="K167" s="205"/>
      <c r="L167" s="205"/>
      <c r="M167" s="345"/>
    </row>
    <row r="168" spans="1:13">
      <c r="A168" s="324"/>
      <c r="B168" s="338"/>
      <c r="C168" s="342"/>
      <c r="D168" s="346"/>
      <c r="E168" s="321"/>
      <c r="F168" s="347" t="s">
        <v>90</v>
      </c>
      <c r="G168" s="318"/>
      <c r="H168" s="1110" t="s">
        <v>25</v>
      </c>
      <c r="I168" s="1110"/>
      <c r="J168" s="1110" t="s">
        <v>26</v>
      </c>
      <c r="K168" s="1110"/>
      <c r="L168" s="1110" t="s">
        <v>27</v>
      </c>
      <c r="M168" s="1111"/>
    </row>
    <row r="169" spans="1:13">
      <c r="A169" s="324"/>
      <c r="B169" s="1112" t="s">
        <v>91</v>
      </c>
      <c r="C169" s="1110"/>
      <c r="D169" s="1110"/>
      <c r="E169" s="1110"/>
      <c r="F169" s="911">
        <f>F155+F152</f>
        <v>20305667.477570318</v>
      </c>
      <c r="G169" s="907"/>
      <c r="H169" s="1215">
        <f>K151</f>
        <v>6776734.6788530098</v>
      </c>
      <c r="I169" s="1215"/>
      <c r="J169" s="1114">
        <f>L155</f>
        <v>3997954.0995313893</v>
      </c>
      <c r="K169" s="1114"/>
      <c r="L169" s="1115">
        <f>H169+J169</f>
        <v>10774688.778384399</v>
      </c>
      <c r="M169" s="1116"/>
    </row>
    <row r="170" spans="1:13">
      <c r="A170" s="324"/>
      <c r="B170" s="338"/>
      <c r="C170" s="6" t="s">
        <v>93</v>
      </c>
      <c r="D170" s="346"/>
      <c r="E170" s="321"/>
      <c r="F170" s="321"/>
      <c r="G170" s="318"/>
      <c r="H170" s="318"/>
      <c r="I170" s="205"/>
      <c r="J170" s="205"/>
      <c r="K170" s="324"/>
      <c r="L170" s="205"/>
      <c r="M170" s="355"/>
    </row>
    <row r="171" spans="1:13">
      <c r="A171" s="324"/>
      <c r="B171" s="338"/>
      <c r="C171" s="9" t="s">
        <v>94</v>
      </c>
      <c r="D171" s="346"/>
      <c r="E171" s="321"/>
      <c r="F171" s="321"/>
      <c r="G171" s="318"/>
      <c r="H171" s="318"/>
      <c r="I171" s="205"/>
      <c r="J171" s="205"/>
      <c r="K171" s="324"/>
      <c r="L171" s="356"/>
      <c r="M171" s="357"/>
    </row>
    <row r="172" spans="1:13">
      <c r="A172" s="324"/>
      <c r="B172" s="358"/>
      <c r="C172" s="9" t="s">
        <v>95</v>
      </c>
      <c r="D172" s="359"/>
      <c r="E172" s="360">
        <v>3.5000000000000003E-2</v>
      </c>
      <c r="F172" s="912">
        <f>E172*F169</f>
        <v>710698.36171496124</v>
      </c>
      <c r="G172" s="352"/>
      <c r="H172" s="1216">
        <f>H169*E172</f>
        <v>237185.71375985537</v>
      </c>
      <c r="I172" s="1216"/>
      <c r="J172" s="1114">
        <f>J169*E172</f>
        <v>139928.39348359863</v>
      </c>
      <c r="K172" s="1114"/>
      <c r="L172" s="1115">
        <f t="shared" ref="L172:L179" si="15">H172+J172</f>
        <v>377114.10724345397</v>
      </c>
      <c r="M172" s="1116"/>
    </row>
    <row r="173" spans="1:13">
      <c r="A173" s="324"/>
      <c r="B173" s="358"/>
      <c r="C173" s="9" t="s">
        <v>96</v>
      </c>
      <c r="D173" s="359"/>
      <c r="E173" s="360">
        <v>0.1</v>
      </c>
      <c r="F173" s="912">
        <f>E173*F169</f>
        <v>2030566.7477570318</v>
      </c>
      <c r="G173" s="352"/>
      <c r="H173" s="1216">
        <f>H169*E173</f>
        <v>677673.46788530098</v>
      </c>
      <c r="I173" s="1216"/>
      <c r="J173" s="1114">
        <f>J169*E173</f>
        <v>399795.40995313897</v>
      </c>
      <c r="K173" s="1114"/>
      <c r="L173" s="1115">
        <f t="shared" si="15"/>
        <v>1077468.87783844</v>
      </c>
      <c r="M173" s="1116"/>
    </row>
    <row r="174" spans="1:13">
      <c r="A174" s="324"/>
      <c r="B174" s="358"/>
      <c r="C174" s="9" t="s">
        <v>97</v>
      </c>
      <c r="D174" s="359"/>
      <c r="E174" s="360">
        <v>0.18</v>
      </c>
      <c r="F174" s="912">
        <f>E174*F173</f>
        <v>365502.01459626574</v>
      </c>
      <c r="G174" s="352"/>
      <c r="H174" s="1216">
        <f>H173*E174</f>
        <v>121981.22421935418</v>
      </c>
      <c r="I174" s="1216"/>
      <c r="J174" s="1114">
        <f>J173*E174</f>
        <v>71963.173791565016</v>
      </c>
      <c r="K174" s="1114"/>
      <c r="L174" s="1115">
        <f t="shared" si="15"/>
        <v>193944.39801091919</v>
      </c>
      <c r="M174" s="1116"/>
    </row>
    <row r="175" spans="1:13">
      <c r="A175" s="324"/>
      <c r="B175" s="358"/>
      <c r="C175" s="9" t="s">
        <v>98</v>
      </c>
      <c r="D175" s="359"/>
      <c r="E175" s="360">
        <v>0.03</v>
      </c>
      <c r="F175" s="912">
        <f>E175*F169</f>
        <v>609170.02432710945</v>
      </c>
      <c r="G175" s="352"/>
      <c r="H175" s="1216">
        <f>H169*E175</f>
        <v>203302.04036559028</v>
      </c>
      <c r="I175" s="1216"/>
      <c r="J175" s="1114">
        <f>J169*E175</f>
        <v>119938.62298594168</v>
      </c>
      <c r="K175" s="1114"/>
      <c r="L175" s="1115">
        <f t="shared" si="15"/>
        <v>323240.66335153196</v>
      </c>
      <c r="M175" s="1116"/>
    </row>
    <row r="176" spans="1:13">
      <c r="A176" s="324"/>
      <c r="B176" s="358"/>
      <c r="C176" s="9" t="s">
        <v>99</v>
      </c>
      <c r="D176" s="359"/>
      <c r="E176" s="363">
        <v>0.02</v>
      </c>
      <c r="F176" s="912">
        <f>E176*F169</f>
        <v>406113.34955140634</v>
      </c>
      <c r="G176" s="352"/>
      <c r="H176" s="1216">
        <f>H169*E176</f>
        <v>135534.69357706018</v>
      </c>
      <c r="I176" s="1216"/>
      <c r="J176" s="1115">
        <f>J169*E176</f>
        <v>79959.08199062779</v>
      </c>
      <c r="K176" s="1115"/>
      <c r="L176" s="1115">
        <f t="shared" si="15"/>
        <v>215493.77556768799</v>
      </c>
      <c r="M176" s="1116"/>
    </row>
    <row r="177" spans="1:13">
      <c r="A177" s="324"/>
      <c r="B177" s="358"/>
      <c r="C177" s="6" t="s">
        <v>100</v>
      </c>
      <c r="D177" s="359"/>
      <c r="E177" s="360">
        <v>0.01</v>
      </c>
      <c r="F177" s="912">
        <f>E177*F169</f>
        <v>203056.67477570317</v>
      </c>
      <c r="G177" s="352"/>
      <c r="H177" s="1216">
        <f>H169*E177</f>
        <v>67767.346788530092</v>
      </c>
      <c r="I177" s="1216"/>
      <c r="J177" s="1115">
        <f>J169*E177</f>
        <v>39979.540995313895</v>
      </c>
      <c r="K177" s="1115"/>
      <c r="L177" s="1115">
        <f t="shared" si="15"/>
        <v>107746.88778384399</v>
      </c>
      <c r="M177" s="1116"/>
    </row>
    <row r="178" spans="1:13">
      <c r="A178" s="324"/>
      <c r="B178" s="358"/>
      <c r="C178" s="9" t="s">
        <v>270</v>
      </c>
      <c r="D178" s="359"/>
      <c r="E178" s="360">
        <v>0.02</v>
      </c>
      <c r="F178" s="912">
        <f>F169*E178</f>
        <v>406113.34955140634</v>
      </c>
      <c r="G178" s="352"/>
      <c r="H178" s="912"/>
      <c r="I178" s="912"/>
      <c r="J178" s="353"/>
      <c r="K178" s="353"/>
      <c r="L178" s="353"/>
      <c r="M178" s="354"/>
    </row>
    <row r="179" spans="1:13">
      <c r="A179" s="324"/>
      <c r="B179" s="358"/>
      <c r="C179" s="6" t="s">
        <v>101</v>
      </c>
      <c r="D179" s="359"/>
      <c r="E179" s="364">
        <v>1E-3</v>
      </c>
      <c r="F179" s="913">
        <f>E179*F169</f>
        <v>20305.667477570318</v>
      </c>
      <c r="G179" s="366"/>
      <c r="H179" s="1216">
        <f>H169*E179</f>
        <v>6776.7346788530103</v>
      </c>
      <c r="I179" s="1216"/>
      <c r="J179" s="1120">
        <f>J169*E179</f>
        <v>3997.9540995313896</v>
      </c>
      <c r="K179" s="1120"/>
      <c r="L179" s="1115">
        <f t="shared" si="15"/>
        <v>10774.688778384399</v>
      </c>
      <c r="M179" s="1116"/>
    </row>
    <row r="180" spans="1:13">
      <c r="A180" s="324"/>
      <c r="B180" s="358"/>
      <c r="C180" s="367" t="s">
        <v>104</v>
      </c>
      <c r="D180" s="368"/>
      <c r="E180" s="150">
        <f>E179+E177+E176+E175+E173+E172+1.8%</f>
        <v>0.21400000000000002</v>
      </c>
      <c r="F180" s="914">
        <f>F172+F173+F174+F175+F176+F177+F179+F178</f>
        <v>4751526.1897514546</v>
      </c>
      <c r="G180" s="369"/>
      <c r="H180" s="1220"/>
      <c r="I180" s="1220"/>
      <c r="L180" s="1122"/>
      <c r="M180" s="1123"/>
    </row>
    <row r="181" spans="1:13">
      <c r="A181" s="324"/>
      <c r="B181" s="358"/>
      <c r="C181" s="6"/>
      <c r="D181" s="359"/>
      <c r="E181" s="347"/>
      <c r="F181" s="916"/>
      <c r="G181" s="372"/>
      <c r="H181" s="917"/>
      <c r="I181" s="918"/>
      <c r="J181" s="375"/>
      <c r="K181" s="324"/>
      <c r="L181" s="376"/>
      <c r="M181" s="355"/>
    </row>
    <row r="182" spans="1:13">
      <c r="A182" s="324"/>
      <c r="B182" s="358"/>
      <c r="C182" s="9" t="s">
        <v>271</v>
      </c>
      <c r="D182" s="368"/>
      <c r="E182" s="377"/>
      <c r="F182" s="919">
        <f>F169+F180</f>
        <v>25057193.667321771</v>
      </c>
      <c r="G182" s="369"/>
      <c r="H182" s="1217">
        <f>SUM(H172:I181)</f>
        <v>1450221.2212745443</v>
      </c>
      <c r="I182" s="1217"/>
      <c r="J182" s="1125">
        <f>SUM(J172:K179)</f>
        <v>855562.17729971744</v>
      </c>
      <c r="K182" s="1125"/>
      <c r="L182" s="1218">
        <f>H182+J182</f>
        <v>2305783.3985742619</v>
      </c>
      <c r="M182" s="1219"/>
    </row>
    <row r="183" spans="1:13">
      <c r="A183" s="324"/>
      <c r="B183" s="358"/>
      <c r="C183" s="324"/>
      <c r="D183" s="368"/>
      <c r="E183" s="377"/>
      <c r="F183" s="378"/>
      <c r="G183" s="369"/>
      <c r="H183" s="915"/>
      <c r="I183" s="920"/>
      <c r="J183" s="379"/>
      <c r="K183" s="324"/>
      <c r="L183" s="919"/>
      <c r="M183" s="921"/>
    </row>
    <row r="184" spans="1:13">
      <c r="A184" s="324"/>
      <c r="B184" s="358"/>
      <c r="C184" s="1087" t="s">
        <v>272</v>
      </c>
      <c r="D184" s="1087"/>
      <c r="E184" s="380"/>
      <c r="F184" s="371"/>
      <c r="G184" s="376"/>
      <c r="H184" s="1216">
        <f>H182+H169</f>
        <v>8226955.9001275543</v>
      </c>
      <c r="I184" s="1216"/>
      <c r="J184" s="1221">
        <f>J169+J182</f>
        <v>4853516.2768311072</v>
      </c>
      <c r="K184" s="1221"/>
      <c r="L184" s="1218">
        <f>H184+J184</f>
        <v>13080472.176958662</v>
      </c>
      <c r="M184" s="1219"/>
    </row>
    <row r="185" spans="1:13">
      <c r="A185" s="324"/>
      <c r="B185" s="358"/>
      <c r="C185" s="6"/>
      <c r="D185" s="383"/>
      <c r="E185" s="380"/>
      <c r="F185" s="384"/>
      <c r="G185" s="376"/>
      <c r="H185" s="918"/>
      <c r="I185" s="918"/>
      <c r="J185" s="917"/>
      <c r="K185" s="920"/>
      <c r="L185" s="922"/>
      <c r="M185" s="923"/>
    </row>
    <row r="186" spans="1:13">
      <c r="A186" s="324"/>
      <c r="B186" s="338"/>
      <c r="C186" s="385" t="s">
        <v>106</v>
      </c>
      <c r="D186" s="319"/>
      <c r="E186" s="320"/>
      <c r="F186" s="320"/>
      <c r="G186" s="205"/>
      <c r="H186" s="924"/>
      <c r="I186" s="924"/>
      <c r="J186" s="924"/>
      <c r="K186" s="920"/>
      <c r="L186" s="924"/>
      <c r="M186" s="925"/>
    </row>
    <row r="187" spans="1:13">
      <c r="A187" s="324"/>
      <c r="B187" s="338"/>
      <c r="C187" s="318" t="s">
        <v>11</v>
      </c>
      <c r="D187" s="319"/>
      <c r="E187" s="347"/>
      <c r="F187" s="320"/>
      <c r="G187" s="205"/>
      <c r="H187" s="1215"/>
      <c r="I187" s="1215"/>
      <c r="J187" s="1216"/>
      <c r="K187" s="1216"/>
      <c r="L187" s="1215"/>
      <c r="M187" s="1222"/>
    </row>
    <row r="188" spans="1:13">
      <c r="A188" s="324"/>
      <c r="B188" s="338"/>
      <c r="C188" s="6"/>
      <c r="D188" s="319"/>
      <c r="E188" s="347"/>
      <c r="F188" s="320"/>
      <c r="G188" s="205"/>
      <c r="H188" s="1215"/>
      <c r="I188" s="1215"/>
      <c r="J188" s="1215"/>
      <c r="K188" s="1215"/>
      <c r="L188" s="1215"/>
      <c r="M188" s="1222"/>
    </row>
    <row r="189" spans="1:13">
      <c r="A189" s="324"/>
      <c r="B189" s="338"/>
      <c r="C189" s="9" t="s">
        <v>107</v>
      </c>
      <c r="D189" s="383"/>
      <c r="E189" s="874">
        <v>0.2</v>
      </c>
      <c r="F189" s="380"/>
      <c r="G189" s="386"/>
      <c r="H189" s="1215">
        <f>E189*H184</f>
        <v>1645391.180025511</v>
      </c>
      <c r="I189" s="1215"/>
      <c r="J189" s="1215">
        <f>J184*E189</f>
        <v>970703.25536622154</v>
      </c>
      <c r="K189" s="1215"/>
      <c r="L189" s="1215">
        <f>H189+J189</f>
        <v>2616094.4353917325</v>
      </c>
      <c r="M189" s="1222"/>
    </row>
    <row r="190" spans="1:13">
      <c r="A190" s="324"/>
      <c r="B190" s="338"/>
      <c r="C190" s="9"/>
      <c r="D190" s="383"/>
      <c r="E190" s="380"/>
      <c r="F190" s="380"/>
      <c r="G190" s="386"/>
      <c r="H190" s="1223"/>
      <c r="I190" s="1223"/>
      <c r="J190" s="1223"/>
      <c r="K190" s="1223"/>
      <c r="L190" s="1224"/>
      <c r="M190" s="1225"/>
    </row>
    <row r="191" spans="1:13">
      <c r="A191" s="324"/>
      <c r="B191" s="338"/>
      <c r="C191" s="388" t="s">
        <v>184</v>
      </c>
      <c r="D191" s="383"/>
      <c r="E191" s="380"/>
      <c r="F191" s="380"/>
      <c r="G191" s="386"/>
      <c r="H191" s="1226">
        <f>H184-H189</f>
        <v>6581564.7201020438</v>
      </c>
      <c r="I191" s="1226"/>
      <c r="J191" s="1227">
        <f>J184-J189</f>
        <v>3882813.0214648857</v>
      </c>
      <c r="K191" s="1227"/>
      <c r="L191" s="1215">
        <f>H191+J191</f>
        <v>10464377.74156693</v>
      </c>
      <c r="M191" s="1222"/>
    </row>
    <row r="192" spans="1:13">
      <c r="A192" s="324"/>
      <c r="B192" s="338"/>
      <c r="C192" s="6"/>
      <c r="D192" s="383"/>
      <c r="E192" s="380"/>
      <c r="F192" s="380"/>
      <c r="G192" s="386"/>
      <c r="H192" s="386"/>
      <c r="I192" s="374"/>
      <c r="J192" s="205"/>
      <c r="K192" s="390"/>
      <c r="L192" s="386"/>
      <c r="M192" s="337"/>
    </row>
    <row r="193" spans="1:13">
      <c r="A193" s="324"/>
      <c r="B193" s="350"/>
      <c r="C193" s="1110" t="s">
        <v>109</v>
      </c>
      <c r="D193" s="1110"/>
      <c r="E193" s="347"/>
      <c r="F193" s="347"/>
      <c r="G193" s="1110" t="s">
        <v>110</v>
      </c>
      <c r="H193" s="1110"/>
      <c r="I193" s="1110"/>
      <c r="J193" s="1110" t="s">
        <v>111</v>
      </c>
      <c r="K193" s="1110"/>
      <c r="L193" s="1110"/>
      <c r="M193" s="349"/>
    </row>
    <row r="194" spans="1:13">
      <c r="A194" s="324"/>
      <c r="B194" s="350"/>
      <c r="C194" s="348"/>
      <c r="D194" s="359"/>
      <c r="E194" s="347"/>
      <c r="F194" s="347"/>
      <c r="G194" s="348"/>
      <c r="H194" s="348"/>
      <c r="I194" s="348"/>
      <c r="J194" s="348"/>
      <c r="K194" s="348"/>
      <c r="L194" s="348"/>
      <c r="M194" s="349"/>
    </row>
    <row r="195" spans="1:13">
      <c r="A195" s="324"/>
      <c r="B195" s="350"/>
      <c r="C195" s="1085" t="s">
        <v>112</v>
      </c>
      <c r="D195" s="1085"/>
      <c r="E195" s="347"/>
      <c r="F195" s="347"/>
      <c r="G195" s="1110" t="s">
        <v>113</v>
      </c>
      <c r="H195" s="1110"/>
      <c r="I195" s="1110"/>
      <c r="J195" s="1136" t="s">
        <v>273</v>
      </c>
      <c r="K195" s="1136"/>
      <c r="L195" s="1136"/>
      <c r="M195" s="391"/>
    </row>
    <row r="196" spans="1:13" ht="28.5" customHeight="1" thickBot="1">
      <c r="B196" s="392"/>
      <c r="C196" s="1133" t="s">
        <v>115</v>
      </c>
      <c r="D196" s="1133"/>
      <c r="E196" s="393"/>
      <c r="F196" s="393"/>
      <c r="G196" s="1133" t="s">
        <v>116</v>
      </c>
      <c r="H196" s="1133"/>
      <c r="I196" s="1133"/>
      <c r="J196" s="1134" t="s">
        <v>274</v>
      </c>
      <c r="K196" s="1134"/>
      <c r="L196" s="1134"/>
      <c r="M196" s="394"/>
    </row>
    <row r="197" spans="1:13">
      <c r="D197" s="395"/>
      <c r="E197" s="137"/>
      <c r="F197" s="137"/>
    </row>
    <row r="198" spans="1:13">
      <c r="D198" s="395"/>
      <c r="E198" s="137"/>
      <c r="F198" s="137"/>
    </row>
    <row r="199" spans="1:13">
      <c r="D199" s="395"/>
      <c r="E199" s="137"/>
      <c r="F199" s="137"/>
    </row>
  </sheetData>
  <mergeCells count="74">
    <mergeCell ref="C196:D196"/>
    <mergeCell ref="G196:I196"/>
    <mergeCell ref="J196:L196"/>
    <mergeCell ref="C193:D193"/>
    <mergeCell ref="G193:I193"/>
    <mergeCell ref="J193:L193"/>
    <mergeCell ref="C195:D195"/>
    <mergeCell ref="G195:I195"/>
    <mergeCell ref="J195:L195"/>
    <mergeCell ref="H190:I190"/>
    <mergeCell ref="J190:K190"/>
    <mergeCell ref="L190:M190"/>
    <mergeCell ref="H191:I191"/>
    <mergeCell ref="J191:K191"/>
    <mergeCell ref="L191:M191"/>
    <mergeCell ref="H188:I188"/>
    <mergeCell ref="J188:K188"/>
    <mergeCell ref="L188:M188"/>
    <mergeCell ref="H189:I189"/>
    <mergeCell ref="J189:K189"/>
    <mergeCell ref="L189:M189"/>
    <mergeCell ref="C184:D184"/>
    <mergeCell ref="H184:I184"/>
    <mergeCell ref="J184:K184"/>
    <mergeCell ref="L184:M184"/>
    <mergeCell ref="H187:I187"/>
    <mergeCell ref="J187:K187"/>
    <mergeCell ref="L187:M187"/>
    <mergeCell ref="H182:I182"/>
    <mergeCell ref="J182:K182"/>
    <mergeCell ref="L182:M182"/>
    <mergeCell ref="H176:I176"/>
    <mergeCell ref="J176:K176"/>
    <mergeCell ref="L176:M176"/>
    <mergeCell ref="H177:I177"/>
    <mergeCell ref="J177:K177"/>
    <mergeCell ref="L177:M177"/>
    <mergeCell ref="H179:I179"/>
    <mergeCell ref="J179:K179"/>
    <mergeCell ref="L179:M179"/>
    <mergeCell ref="H180:I180"/>
    <mergeCell ref="L180:M180"/>
    <mergeCell ref="H174:I174"/>
    <mergeCell ref="J174:K174"/>
    <mergeCell ref="L174:M174"/>
    <mergeCell ref="H175:I175"/>
    <mergeCell ref="J175:K175"/>
    <mergeCell ref="L175:M175"/>
    <mergeCell ref="H172:I172"/>
    <mergeCell ref="J172:K172"/>
    <mergeCell ref="L172:M172"/>
    <mergeCell ref="H173:I173"/>
    <mergeCell ref="J173:K173"/>
    <mergeCell ref="L173:M173"/>
    <mergeCell ref="D167:E167"/>
    <mergeCell ref="H168:I168"/>
    <mergeCell ref="J168:K168"/>
    <mergeCell ref="L168:M168"/>
    <mergeCell ref="B169:E169"/>
    <mergeCell ref="H169:I169"/>
    <mergeCell ref="J169:K169"/>
    <mergeCell ref="L169:M169"/>
    <mergeCell ref="B157:F157"/>
    <mergeCell ref="E161:K161"/>
    <mergeCell ref="F162:H162"/>
    <mergeCell ref="D164:F164"/>
    <mergeCell ref="B166:C166"/>
    <mergeCell ref="D166:E166"/>
    <mergeCell ref="B145:N145"/>
    <mergeCell ref="A2:M2"/>
    <mergeCell ref="A3:M3"/>
    <mergeCell ref="A10:F10"/>
    <mergeCell ref="G10:J10"/>
    <mergeCell ref="K10:M10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CUB.1 San Marcos</vt:lpstr>
      <vt:lpstr>Cub. 2 Cabarete</vt:lpstr>
      <vt:lpstr>Cub.1 Maria La O</vt:lpstr>
      <vt:lpstr>CUB.1 Catalina</vt:lpstr>
      <vt:lpstr>Cub.1 Los LLibre</vt:lpstr>
      <vt:lpstr>Noviembre--</vt:lpstr>
      <vt:lpstr>CUB.2 La Catalina</vt:lpstr>
      <vt:lpstr>CUB.3 Edificio</vt:lpstr>
      <vt:lpstr>CUB.2 Maria la O</vt:lpstr>
      <vt:lpstr>CUB.3 Guananico</vt:lpstr>
      <vt:lpstr>Diciembre----</vt:lpstr>
      <vt:lpstr>cub.3 Cabarete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Joel García</dc:creator>
  <cp:lastModifiedBy>Marielis Tineo</cp:lastModifiedBy>
  <dcterms:created xsi:type="dcterms:W3CDTF">2024-01-04T14:32:18Z</dcterms:created>
  <dcterms:modified xsi:type="dcterms:W3CDTF">2024-01-09T18:55:19Z</dcterms:modified>
</cp:coreProperties>
</file>